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hum\Desktop\"/>
    </mc:Choice>
  </mc:AlternateContent>
  <xr:revisionPtr revIDLastSave="0" documentId="13_ncr:1_{E88150B0-0917-43AB-B115-9AA6567D34DD}" xr6:coauthVersionLast="36" xr6:coauthVersionMax="36" xr10:uidLastSave="{00000000-0000-0000-0000-000000000000}"/>
  <bookViews>
    <workbookView xWindow="0" yWindow="0" windowWidth="4080" windowHeight="5376" xr2:uid="{F144C677-79B4-4651-B2D4-C8F59BE25F7A}"/>
  </bookViews>
  <sheets>
    <sheet name="계산기" sheetId="1" r:id="rId1"/>
    <sheet name="계산식" sheetId="2" r:id="rId2"/>
    <sheet name="닐루" sheetId="5" r:id="rId3"/>
  </sheets>
  <definedNames>
    <definedName name="_xlnm._FilterDatabase" localSheetId="0" hidden="1">계산기!$F$1:$G$1</definedName>
    <definedName name="_xlnm._FilterDatabase" localSheetId="2" hidden="1">닐루!$F$1:$G$1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D16" i="1" s="1"/>
  <c r="C30" i="5"/>
  <c r="M37" i="5"/>
  <c r="N37" i="5"/>
  <c r="L37" i="5"/>
  <c r="N38" i="5"/>
  <c r="M38" i="5"/>
  <c r="L38" i="5"/>
  <c r="I37" i="5"/>
  <c r="J37" i="5"/>
  <c r="H37" i="5"/>
  <c r="H38" i="5"/>
  <c r="J38" i="5"/>
  <c r="I38" i="5"/>
  <c r="E37" i="5"/>
  <c r="E38" i="5" s="1"/>
  <c r="F37" i="5"/>
  <c r="F38" i="5" s="1"/>
  <c r="D37" i="5"/>
  <c r="D38" i="5" s="1"/>
  <c r="D34" i="5"/>
  <c r="E34" i="5"/>
  <c r="C34" i="5"/>
  <c r="C27" i="5"/>
  <c r="C21" i="5"/>
  <c r="C22" i="5"/>
  <c r="C23" i="5"/>
  <c r="C24" i="5"/>
  <c r="C20" i="5"/>
  <c r="F13" i="2"/>
  <c r="F14" i="1" s="1"/>
  <c r="K13" i="2"/>
  <c r="K14" i="1" s="1"/>
  <c r="J13" i="2"/>
  <c r="J14" i="1" s="1"/>
  <c r="I13" i="2"/>
  <c r="I14" i="1" s="1"/>
  <c r="G13" i="2"/>
  <c r="G14" i="1" s="1"/>
  <c r="H13" i="2"/>
  <c r="H14" i="1" s="1"/>
  <c r="D13" i="2"/>
  <c r="D14" i="1" s="1"/>
  <c r="C13" i="2"/>
  <c r="C14" i="1" s="1"/>
  <c r="E13" i="2"/>
  <c r="E14" i="1" s="1"/>
  <c r="C19" i="2"/>
  <c r="D19" i="2"/>
  <c r="E19" i="2"/>
  <c r="D11" i="2"/>
  <c r="C11" i="2"/>
  <c r="B11" i="2"/>
  <c r="B13" i="2" s="1"/>
  <c r="B14" i="1" s="1"/>
  <c r="C14" i="5" l="1"/>
  <c r="D14" i="5"/>
  <c r="G14" i="5"/>
  <c r="E14" i="5"/>
  <c r="F14" i="5"/>
  <c r="H14" i="5"/>
  <c r="B14" i="5"/>
  <c r="I14" i="5"/>
  <c r="B15" i="2"/>
  <c r="J14" i="5"/>
  <c r="K14" i="5"/>
  <c r="C15" i="2"/>
  <c r="C16" i="5" s="1"/>
  <c r="G15" i="2"/>
  <c r="G16" i="1" s="1"/>
  <c r="E15" i="2"/>
  <c r="F15" i="2"/>
  <c r="F16" i="1" s="1"/>
  <c r="H15" i="2"/>
  <c r="H16" i="1" s="1"/>
  <c r="I15" i="2"/>
  <c r="I16" i="1" s="1"/>
  <c r="J15" i="2"/>
  <c r="K15" i="2"/>
  <c r="D16" i="5" l="1"/>
  <c r="E16" i="1"/>
  <c r="E16" i="5"/>
  <c r="G16" i="5"/>
  <c r="B16" i="5"/>
  <c r="B16" i="1"/>
  <c r="K16" i="1"/>
  <c r="K16" i="5"/>
  <c r="J16" i="1"/>
  <c r="J16" i="5"/>
  <c r="F16" i="5"/>
  <c r="C16" i="1"/>
  <c r="I16" i="5"/>
  <c r="H16" i="5"/>
  <c r="E20" i="5" l="1"/>
  <c r="B17" i="5"/>
  <c r="E27" i="5"/>
  <c r="F20" i="5"/>
  <c r="E21" i="5"/>
  <c r="F21" i="5" s="1"/>
  <c r="E22" i="5"/>
  <c r="F22" i="5" s="1"/>
  <c r="E23" i="5"/>
  <c r="F23" i="5" s="1"/>
  <c r="E24" i="5"/>
  <c r="F24" i="5" s="1"/>
  <c r="F27" i="5" l="1"/>
  <c r="O27" i="5" s="1"/>
  <c r="O28" i="5" s="1"/>
  <c r="E28" i="5"/>
  <c r="F28" i="5" s="1"/>
  <c r="H28" i="5" s="1"/>
  <c r="K23" i="5"/>
  <c r="L23" i="5"/>
  <c r="M23" i="5"/>
  <c r="N23" i="5"/>
  <c r="J23" i="5"/>
  <c r="O23" i="5"/>
  <c r="J20" i="5"/>
  <c r="O20" i="5"/>
  <c r="K20" i="5"/>
  <c r="N20" i="5"/>
  <c r="M20" i="5"/>
  <c r="L20" i="5"/>
  <c r="N24" i="5"/>
  <c r="J24" i="5"/>
  <c r="K24" i="5"/>
  <c r="L24" i="5"/>
  <c r="M24" i="5"/>
  <c r="O24" i="5"/>
  <c r="K22" i="5"/>
  <c r="N22" i="5"/>
  <c r="O22" i="5"/>
  <c r="J22" i="5"/>
  <c r="L22" i="5"/>
  <c r="M22" i="5"/>
  <c r="N21" i="5"/>
  <c r="J21" i="5"/>
  <c r="O21" i="5"/>
  <c r="K21" i="5"/>
  <c r="M21" i="5"/>
  <c r="L21" i="5"/>
  <c r="H24" i="5"/>
  <c r="S24" i="5"/>
  <c r="Q24" i="5"/>
  <c r="U24" i="5"/>
  <c r="P24" i="5"/>
  <c r="R24" i="5"/>
  <c r="T24" i="5"/>
  <c r="H23" i="5"/>
  <c r="R23" i="5"/>
  <c r="T23" i="5"/>
  <c r="U23" i="5"/>
  <c r="S23" i="5"/>
  <c r="P23" i="5"/>
  <c r="Q23" i="5"/>
  <c r="P20" i="5"/>
  <c r="R20" i="5"/>
  <c r="S20" i="5"/>
  <c r="H20" i="5"/>
  <c r="Q20" i="5"/>
  <c r="T20" i="5"/>
  <c r="U20" i="5"/>
  <c r="H22" i="5"/>
  <c r="Q22" i="5"/>
  <c r="R22" i="5"/>
  <c r="T22" i="5"/>
  <c r="P22" i="5"/>
  <c r="U22" i="5"/>
  <c r="S22" i="5"/>
  <c r="Q21" i="5"/>
  <c r="T21" i="5"/>
  <c r="R21" i="5"/>
  <c r="S21" i="5"/>
  <c r="U21" i="5"/>
  <c r="P21" i="5"/>
  <c r="H21" i="5"/>
  <c r="M27" i="5" l="1"/>
  <c r="M28" i="5" s="1"/>
  <c r="S27" i="5"/>
  <c r="S28" i="5" s="1"/>
  <c r="P27" i="5"/>
  <c r="P28" i="5" s="1"/>
  <c r="H27" i="5"/>
  <c r="J27" i="5"/>
  <c r="J28" i="5" s="1"/>
  <c r="Q27" i="5"/>
  <c r="Q28" i="5" s="1"/>
  <c r="Q29" i="5" s="1"/>
  <c r="L27" i="5"/>
  <c r="L28" i="5" s="1"/>
  <c r="L31" i="5" s="1"/>
  <c r="K27" i="5"/>
  <c r="K28" i="5" s="1"/>
  <c r="K29" i="5" s="1"/>
  <c r="U27" i="5"/>
  <c r="U28" i="5" s="1"/>
  <c r="R27" i="5"/>
  <c r="R28" i="5" s="1"/>
  <c r="R30" i="5" s="1"/>
  <c r="T27" i="5"/>
  <c r="T28" i="5" s="1"/>
  <c r="T29" i="5" s="1"/>
  <c r="N27" i="5"/>
  <c r="N28" i="5" s="1"/>
  <c r="N30" i="5" s="1"/>
  <c r="U29" i="5"/>
  <c r="U30" i="5"/>
  <c r="U31" i="5"/>
  <c r="S29" i="5"/>
  <c r="S30" i="5"/>
  <c r="S31" i="5"/>
  <c r="O31" i="5"/>
  <c r="O30" i="5"/>
  <c r="O29" i="5"/>
  <c r="P30" i="5"/>
  <c r="P31" i="5"/>
  <c r="P29" i="5"/>
  <c r="J29" i="5"/>
  <c r="J31" i="5"/>
  <c r="J30" i="5"/>
  <c r="M31" i="5"/>
  <c r="M30" i="5"/>
  <c r="M29" i="5"/>
  <c r="K31" i="5" l="1"/>
  <c r="K30" i="5"/>
  <c r="L30" i="5"/>
  <c r="N29" i="5"/>
  <c r="N31" i="5"/>
  <c r="L29" i="5"/>
  <c r="R29" i="5"/>
  <c r="Q31" i="5"/>
  <c r="R31" i="5"/>
  <c r="Q30" i="5"/>
  <c r="T31" i="5"/>
  <c r="T30" i="5"/>
</calcChain>
</file>

<file path=xl/sharedStrings.xml><?xml version="1.0" encoding="utf-8"?>
<sst xmlns="http://schemas.openxmlformats.org/spreadsheetml/2006/main" count="253" uniqueCount="79">
  <si>
    <t>체력</t>
    <phoneticPr fontId="1" type="noConversion"/>
  </si>
  <si>
    <t>공격력</t>
    <phoneticPr fontId="1" type="noConversion"/>
  </si>
  <si>
    <t>방어력</t>
    <phoneticPr fontId="1" type="noConversion"/>
  </si>
  <si>
    <t>물공명</t>
    <phoneticPr fontId="1" type="noConversion"/>
  </si>
  <si>
    <t>불공명</t>
    <phoneticPr fontId="1" type="noConversion"/>
  </si>
  <si>
    <t>꽃</t>
    <phoneticPr fontId="1" type="noConversion"/>
  </si>
  <si>
    <t>성유물</t>
    <phoneticPr fontId="1" type="noConversion"/>
  </si>
  <si>
    <t>기초스탯</t>
    <phoneticPr fontId="1" type="noConversion"/>
  </si>
  <si>
    <t>깃털</t>
    <phoneticPr fontId="1" type="noConversion"/>
  </si>
  <si>
    <t>시계</t>
    <phoneticPr fontId="1" type="noConversion"/>
  </si>
  <si>
    <t>성배</t>
    <phoneticPr fontId="1" type="noConversion"/>
  </si>
  <si>
    <t>왕관</t>
    <phoneticPr fontId="1" type="noConversion"/>
  </si>
  <si>
    <t>원마</t>
    <phoneticPr fontId="1" type="noConversion"/>
  </si>
  <si>
    <t>원충</t>
    <phoneticPr fontId="1" type="noConversion"/>
  </si>
  <si>
    <t>체%</t>
  </si>
  <si>
    <t>체%</t>
    <phoneticPr fontId="1" type="noConversion"/>
  </si>
  <si>
    <t>공%</t>
    <phoneticPr fontId="1" type="noConversion"/>
  </si>
  <si>
    <t>방%</t>
    <phoneticPr fontId="1" type="noConversion"/>
  </si>
  <si>
    <t>원소피해</t>
  </si>
  <si>
    <t>원소피해</t>
    <phoneticPr fontId="1" type="noConversion"/>
  </si>
  <si>
    <t>치확</t>
    <phoneticPr fontId="1" type="noConversion"/>
  </si>
  <si>
    <t>치피</t>
    <phoneticPr fontId="1" type="noConversion"/>
  </si>
  <si>
    <t>치유보너스</t>
  </si>
  <si>
    <t>치유보너스</t>
    <phoneticPr fontId="1" type="noConversion"/>
  </si>
  <si>
    <t>물리피해</t>
  </si>
  <si>
    <t>물리피해</t>
    <phoneticPr fontId="1" type="noConversion"/>
  </si>
  <si>
    <t>풀공명</t>
    <phoneticPr fontId="1" type="noConversion"/>
  </si>
  <si>
    <t>최종스탯</t>
    <phoneticPr fontId="1" type="noConversion"/>
  </si>
  <si>
    <t>깡체</t>
    <phoneticPr fontId="1" type="noConversion"/>
  </si>
  <si>
    <t>깡공</t>
    <phoneticPr fontId="1" type="noConversion"/>
  </si>
  <si>
    <t>증가량</t>
    <phoneticPr fontId="1" type="noConversion"/>
  </si>
  <si>
    <t xml:space="preserve"> </t>
    <phoneticPr fontId="1" type="noConversion"/>
  </si>
  <si>
    <t>돌파스탯</t>
    <phoneticPr fontId="1" type="noConversion"/>
  </si>
  <si>
    <t>4성</t>
    <phoneticPr fontId="1" type="noConversion"/>
  </si>
  <si>
    <t>5성</t>
    <phoneticPr fontId="1" type="noConversion"/>
  </si>
  <si>
    <t>기본스탯</t>
    <phoneticPr fontId="1" type="noConversion"/>
  </si>
  <si>
    <t>돌파스탯
증가량</t>
    <phoneticPr fontId="1" type="noConversion"/>
  </si>
  <si>
    <t>캐릭터가 4성이면 4성에만, 5성이면 5성에만</t>
    <phoneticPr fontId="1" type="noConversion"/>
  </si>
  <si>
    <t>없는 스탯은 노란색으로 표기</t>
    <phoneticPr fontId="1" type="noConversion"/>
  </si>
  <si>
    <t>꼭 1군데에만 체크</t>
    <phoneticPr fontId="1" type="noConversion"/>
  </si>
  <si>
    <t>돌파스탯포함</t>
    <phoneticPr fontId="1" type="noConversion"/>
  </si>
  <si>
    <t>성현</t>
    <phoneticPr fontId="1" type="noConversion"/>
  </si>
  <si>
    <t>1재</t>
    <phoneticPr fontId="1" type="noConversion"/>
  </si>
  <si>
    <t>재련당 체5%씩 증가</t>
    <phoneticPr fontId="1" type="noConversion"/>
  </si>
  <si>
    <t>2재</t>
    <phoneticPr fontId="1" type="noConversion"/>
  </si>
  <si>
    <t>4재</t>
  </si>
  <si>
    <t>5재</t>
  </si>
  <si>
    <t>3재</t>
    <phoneticPr fontId="1" type="noConversion"/>
  </si>
  <si>
    <t>뱃도랑</t>
    <phoneticPr fontId="1" type="noConversion"/>
  </si>
  <si>
    <t>재련별 변화없음</t>
    <phoneticPr fontId="1" type="noConversion"/>
  </si>
  <si>
    <t>챙겨야하는 체력</t>
    <phoneticPr fontId="1" type="noConversion"/>
  </si>
  <si>
    <t>챙겨야 하는 체력</t>
    <phoneticPr fontId="1" type="noConversion"/>
  </si>
  <si>
    <t>%환산</t>
    <phoneticPr fontId="1" type="noConversion"/>
  </si>
  <si>
    <t>성유물 부옵수</t>
    <phoneticPr fontId="1" type="noConversion"/>
  </si>
  <si>
    <t>최저</t>
    <phoneticPr fontId="1" type="noConversion"/>
  </si>
  <si>
    <t>평균</t>
    <phoneticPr fontId="1" type="noConversion"/>
  </si>
  <si>
    <t>최고</t>
    <phoneticPr fontId="1" type="noConversion"/>
  </si>
  <si>
    <t>계산하려고 바꾼거</t>
    <phoneticPr fontId="1" type="noConversion"/>
  </si>
  <si>
    <t>깡체11옵일때 필요한 체%</t>
    <phoneticPr fontId="1" type="noConversion"/>
  </si>
  <si>
    <t>성유물 하나당 최대6옵(4옵스타트일떄) 붙을 수 있음</t>
    <phoneticPr fontId="1" type="noConversion"/>
  </si>
  <si>
    <t>꽃과 깃털에서 체퍼6옵일때 각</t>
    <phoneticPr fontId="1" type="noConversion"/>
  </si>
  <si>
    <t>합은</t>
    <phoneticPr fontId="1" type="noConversion"/>
  </si>
  <si>
    <t>깡체14옵일때 필요한 체%</t>
    <phoneticPr fontId="1" type="noConversion"/>
  </si>
  <si>
    <t>깡체17옵일때 필요한 체%</t>
    <phoneticPr fontId="1" type="noConversion"/>
  </si>
  <si>
    <t>깡체20옵일때 필요한 체%</t>
    <phoneticPr fontId="1" type="noConversion"/>
  </si>
  <si>
    <t>5옵은</t>
    <phoneticPr fontId="1" type="noConversion"/>
  </si>
  <si>
    <t>4옵은</t>
    <phoneticPr fontId="1" type="noConversion"/>
  </si>
  <si>
    <t>체20%셋</t>
    <phoneticPr fontId="1" type="noConversion"/>
  </si>
  <si>
    <t>체22셋착용시</t>
    <phoneticPr fontId="1" type="noConversion"/>
  </si>
  <si>
    <t>체22셋</t>
    <phoneticPr fontId="1" type="noConversion"/>
  </si>
  <si>
    <t>최저체%</t>
    <phoneticPr fontId="1" type="noConversion"/>
  </si>
  <si>
    <t>평균체%</t>
    <phoneticPr fontId="1" type="noConversion"/>
  </si>
  <si>
    <t>최고체%</t>
    <phoneticPr fontId="1" type="noConversion"/>
  </si>
  <si>
    <t>체22셋기준 부옵수</t>
    <phoneticPr fontId="1" type="noConversion"/>
  </si>
  <si>
    <t>건드리면 계산기 망가짐</t>
    <phoneticPr fontId="1" type="noConversion"/>
  </si>
  <si>
    <t xml:space="preserve">&lt;-- </t>
    <phoneticPr fontId="1" type="noConversion"/>
  </si>
  <si>
    <r>
      <t>꼭</t>
    </r>
    <r>
      <rPr>
        <sz val="11"/>
        <color rgb="FFFF0000"/>
        <rFont val="맑은 고딕"/>
        <family val="3"/>
        <charset val="129"/>
        <scheme val="minor"/>
      </rPr>
      <t xml:space="preserve"> 1</t>
    </r>
    <r>
      <rPr>
        <sz val="11"/>
        <color theme="1"/>
        <rFont val="맑은 고딕"/>
        <family val="2"/>
        <charset val="129"/>
        <scheme val="minor"/>
      </rPr>
      <t>군데에만 체크</t>
    </r>
    <phoneticPr fontId="1" type="noConversion"/>
  </si>
  <si>
    <t>착용여부</t>
    <phoneticPr fontId="1" type="noConversion"/>
  </si>
  <si>
    <t>캐릭창키면 흰색으로 뜨는거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</si>
</sst>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_);[Red]\(0.00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Malgun Gothic"/>
      <family val="3"/>
    </font>
    <font>
      <sz val="26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183" fontId="0" fillId="5" borderId="2" xfId="0" applyNumberFormat="1" applyFill="1" applyBorder="1" applyAlignment="1">
      <alignment horizontal="center" vertical="center"/>
    </xf>
    <xf numFmtId="183" fontId="0" fillId="2" borderId="2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3" borderId="2" xfId="0" applyNumberFormat="1" applyFill="1" applyBorder="1" applyAlignment="1">
      <alignment horizontal="center" vertical="center"/>
    </xf>
    <xf numFmtId="183" fontId="0" fillId="4" borderId="2" xfId="0" applyNumberFormat="1" applyFill="1" applyBorder="1" applyAlignment="1">
      <alignment horizontal="center" vertical="center"/>
    </xf>
    <xf numFmtId="183" fontId="0" fillId="8" borderId="2" xfId="0" applyNumberFormat="1" applyFill="1" applyBorder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183" fontId="0" fillId="0" borderId="2" xfId="0" applyNumberFormat="1" applyBorder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183" fontId="0" fillId="7" borderId="2" xfId="0" applyNumberFormat="1" applyFill="1" applyBorder="1" applyAlignment="1">
      <alignment horizontal="center" vertical="center"/>
    </xf>
    <xf numFmtId="183" fontId="0" fillId="6" borderId="2" xfId="0" applyNumberFormat="1" applyFill="1" applyBorder="1" applyAlignment="1">
      <alignment horizontal="center" vertical="center"/>
    </xf>
    <xf numFmtId="183" fontId="0" fillId="4" borderId="2" xfId="0" applyNumberFormat="1" applyFill="1" applyBorder="1" applyAlignment="1">
      <alignment horizontal="center" vertical="center"/>
    </xf>
    <xf numFmtId="183" fontId="0" fillId="10" borderId="2" xfId="0" applyNumberFormat="1" applyFill="1" applyBorder="1" applyAlignment="1">
      <alignment horizontal="center" vertical="center"/>
    </xf>
    <xf numFmtId="183" fontId="0" fillId="5" borderId="2" xfId="0" applyNumberFormat="1" applyFill="1" applyBorder="1" applyAlignment="1">
      <alignment horizontal="center" vertical="center"/>
    </xf>
    <xf numFmtId="183" fontId="0" fillId="5" borderId="7" xfId="0" applyNumberFormat="1" applyFill="1" applyBorder="1" applyAlignment="1">
      <alignment horizontal="center" vertical="center"/>
    </xf>
    <xf numFmtId="183" fontId="0" fillId="0" borderId="2" xfId="0" applyNumberFormat="1" applyBorder="1" applyAlignment="1">
      <alignment horizontal="center" vertical="center"/>
    </xf>
    <xf numFmtId="183" fontId="0" fillId="0" borderId="5" xfId="0" applyNumberFormat="1" applyBorder="1" applyAlignment="1">
      <alignment horizontal="center" vertical="center"/>
    </xf>
    <xf numFmtId="183" fontId="0" fillId="0" borderId="5" xfId="0" applyNumberFormat="1" applyBorder="1" applyAlignment="1">
      <alignment horizontal="center" vertical="center"/>
    </xf>
    <xf numFmtId="183" fontId="0" fillId="9" borderId="3" xfId="0" applyNumberFormat="1" applyFill="1" applyBorder="1" applyAlignment="1">
      <alignment horizontal="center" vertical="center"/>
    </xf>
    <xf numFmtId="183" fontId="0" fillId="9" borderId="10" xfId="0" applyNumberFormat="1" applyFill="1" applyBorder="1" applyAlignment="1">
      <alignment horizontal="center" vertical="center"/>
    </xf>
    <xf numFmtId="183" fontId="0" fillId="9" borderId="7" xfId="0" applyNumberFormat="1" applyFill="1" applyBorder="1" applyAlignment="1">
      <alignment horizontal="center" vertical="center"/>
    </xf>
    <xf numFmtId="183" fontId="0" fillId="9" borderId="7" xfId="0" applyNumberFormat="1" applyFill="1" applyBorder="1" applyAlignment="1">
      <alignment horizontal="center" vertical="center"/>
    </xf>
    <xf numFmtId="183" fontId="0" fillId="9" borderId="7" xfId="0" applyNumberFormat="1" applyFill="1" applyBorder="1" applyAlignment="1">
      <alignment vertical="center"/>
    </xf>
    <xf numFmtId="183" fontId="0" fillId="9" borderId="9" xfId="0" applyNumberFormat="1" applyFill="1" applyBorder="1" applyAlignment="1">
      <alignment horizontal="center" vertical="center"/>
    </xf>
    <xf numFmtId="183" fontId="0" fillId="5" borderId="6" xfId="0" applyNumberFormat="1" applyFill="1" applyBorder="1" applyAlignment="1">
      <alignment horizontal="center" vertical="center"/>
    </xf>
    <xf numFmtId="183" fontId="0" fillId="5" borderId="6" xfId="0" applyNumberFormat="1" applyFill="1" applyBorder="1" applyAlignment="1">
      <alignment horizontal="center" vertical="center"/>
    </xf>
    <xf numFmtId="183" fontId="0" fillId="5" borderId="12" xfId="0" applyNumberFormat="1" applyFill="1" applyBorder="1" applyAlignment="1">
      <alignment horizontal="center" vertical="center"/>
    </xf>
    <xf numFmtId="183" fontId="0" fillId="5" borderId="3" xfId="0" applyNumberFormat="1" applyFill="1" applyBorder="1" applyAlignment="1">
      <alignment horizontal="center" vertical="center"/>
    </xf>
    <xf numFmtId="183" fontId="0" fillId="5" borderId="10" xfId="0" applyNumberFormat="1" applyFill="1" applyBorder="1" applyAlignment="1">
      <alignment horizontal="center" vertical="center"/>
    </xf>
    <xf numFmtId="183" fontId="0" fillId="5" borderId="10" xfId="0" applyNumberFormat="1" applyFill="1" applyBorder="1" applyAlignment="1">
      <alignment horizontal="center" vertical="center"/>
    </xf>
    <xf numFmtId="183" fontId="0" fillId="5" borderId="10" xfId="0" applyNumberFormat="1" applyFill="1" applyBorder="1" applyAlignment="1">
      <alignment vertical="center"/>
    </xf>
    <xf numFmtId="183" fontId="0" fillId="5" borderId="4" xfId="0" applyNumberFormat="1" applyFill="1" applyBorder="1" applyAlignment="1">
      <alignment vertical="center"/>
    </xf>
    <xf numFmtId="183" fontId="0" fillId="0" borderId="6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183" fontId="0" fillId="10" borderId="6" xfId="0" applyNumberFormat="1" applyFill="1" applyBorder="1" applyAlignment="1">
      <alignment horizontal="center" vertical="center"/>
    </xf>
    <xf numFmtId="183" fontId="0" fillId="11" borderId="6" xfId="0" applyNumberFormat="1" applyFill="1" applyBorder="1" applyAlignment="1">
      <alignment horizontal="center" vertical="center"/>
    </xf>
    <xf numFmtId="183" fontId="0" fillId="6" borderId="6" xfId="0" applyNumberFormat="1" applyFill="1" applyBorder="1" applyAlignment="1">
      <alignment horizontal="center" vertical="center"/>
    </xf>
    <xf numFmtId="183" fontId="0" fillId="0" borderId="0" xfId="0" applyNumberFormat="1" applyAlignment="1">
      <alignment vertical="center"/>
    </xf>
    <xf numFmtId="183" fontId="0" fillId="5" borderId="3" xfId="0" applyNumberFormat="1" applyFill="1" applyBorder="1" applyAlignment="1">
      <alignment horizontal="center" vertical="center"/>
    </xf>
    <xf numFmtId="183" fontId="0" fillId="0" borderId="11" xfId="0" applyNumberFormat="1" applyBorder="1" applyAlignment="1">
      <alignment horizontal="center" vertical="center"/>
    </xf>
    <xf numFmtId="183" fontId="0" fillId="0" borderId="7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12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13" xfId="0" applyNumberFormat="1" applyBorder="1" applyAlignment="1">
      <alignment horizontal="center" vertical="center"/>
    </xf>
    <xf numFmtId="183" fontId="0" fillId="2" borderId="2" xfId="0" applyNumberFormat="1" applyFill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3" fontId="0" fillId="10" borderId="2" xfId="0" applyNumberFormat="1" applyFill="1" applyBorder="1" applyAlignment="1">
      <alignment vertical="center"/>
    </xf>
    <xf numFmtId="183" fontId="0" fillId="6" borderId="0" xfId="0" applyNumberFormat="1" applyFill="1" applyAlignment="1">
      <alignment horizontal="center" vertical="center"/>
    </xf>
    <xf numFmtId="183" fontId="0" fillId="0" borderId="3" xfId="0" applyNumberFormat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0" borderId="8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계산식!$F$19" lockText="1" noThreeD="1"/>
</file>

<file path=xl/ctrlProps/ctrlProp2.xml><?xml version="1.0" encoding="utf-8"?>
<formControlPr xmlns="http://schemas.microsoft.com/office/spreadsheetml/2009/9/main" objectType="CheckBox" checked="Checked" fmlaLink="계산식!$A$19" lockText="1" noThreeD="1"/>
</file>

<file path=xl/ctrlProps/ctrlProp3.xml><?xml version="1.0" encoding="utf-8"?>
<formControlPr xmlns="http://schemas.microsoft.com/office/spreadsheetml/2009/9/main" objectType="CheckBox" checked="Checked" fmlaLink="계산식!$B$19" lockText="1" noThreeD="1"/>
</file>

<file path=xl/ctrlProps/ctrlProp4.xml><?xml version="1.0" encoding="utf-8"?>
<formControlPr xmlns="http://schemas.microsoft.com/office/spreadsheetml/2009/9/main" objectType="CheckBox" checked="Checked" fmlaLink="계산식!$H$19" lockText="1" noThreeD="1"/>
</file>

<file path=xl/ctrlProps/ctrlProp5.xml><?xml version="1.0" encoding="utf-8"?>
<formControlPr xmlns="http://schemas.microsoft.com/office/spreadsheetml/2009/9/main" objectType="CheckBox" fmlaLink="계산식!$G$19" lockText="1" noThreeD="1"/>
</file>

<file path=xl/ctrlProps/ctrlProp6.xml><?xml version="1.0" encoding="utf-8"?>
<formControlPr xmlns="http://schemas.microsoft.com/office/spreadsheetml/2009/9/main" objectType="CheckBox" checked="Checked" fmlaLink="계산식!$F$19" lockText="1" noThreeD="1"/>
</file>

<file path=xl/ctrlProps/ctrlProp7.xml><?xml version="1.0" encoding="utf-8"?>
<formControlPr xmlns="http://schemas.microsoft.com/office/spreadsheetml/2009/9/main" objectType="CheckBox" fmlaLink="계산식!$G$19" lockText="1" noThreeD="1"/>
</file>

<file path=xl/ctrlProps/ctrlProp8.xml><?xml version="1.0" encoding="utf-8"?>
<formControlPr xmlns="http://schemas.microsoft.com/office/spreadsheetml/2009/9/main" objectType="CheckBox" checked="Checked" fmlaLink="계산식!$A$19" lockText="1" noThreeD="1"/>
</file>

<file path=xl/ctrlProps/ctrlProp9.xml><?xml version="1.0" encoding="utf-8"?>
<formControlPr xmlns="http://schemas.microsoft.com/office/spreadsheetml/2009/9/main" objectType="CheckBox" checked="Checked" fmlaLink="계산식!$B$19" lockText="1" noThreeD="1"/>
</file>

<file path=xl/ctrlProps/ctrlProp10.xml><?xml version="1.0" encoding="utf-8"?>
<formControlPr xmlns="http://schemas.microsoft.com/office/spreadsheetml/2009/9/main" objectType="CheckBox" checked="Checked" fmlaLink="계산식!$H$19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0</xdr:row>
          <xdr:rowOff>213360</xdr:rowOff>
        </xdr:from>
        <xdr:to>
          <xdr:col>5</xdr:col>
          <xdr:colOff>510540</xdr:colOff>
          <xdr:row>2</xdr:row>
          <xdr:rowOff>30480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00F290F-E34B-42F3-8853-AEE3B621EE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228600</xdr:colOff>
          <xdr:row>0</xdr:row>
          <xdr:rowOff>213360</xdr:rowOff>
        </xdr:from>
        <xdr:ext cx="281940" cy="25908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307C225-A8CD-4E1B-B2A7-830EADF300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220980</xdr:colOff>
          <xdr:row>8</xdr:row>
          <xdr:rowOff>213360</xdr:rowOff>
        </xdr:from>
        <xdr:to>
          <xdr:col>1</xdr:col>
          <xdr:colOff>502920</xdr:colOff>
          <xdr:row>10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D33830B-2AAB-45DF-A309-05BF5876A0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220980</xdr:colOff>
          <xdr:row>8</xdr:row>
          <xdr:rowOff>213360</xdr:rowOff>
        </xdr:from>
        <xdr:ext cx="281940" cy="25908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8016FB5-9524-4C26-9DB4-6B0CDAD3E6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228600</xdr:colOff>
          <xdr:row>0</xdr:row>
          <xdr:rowOff>213360</xdr:rowOff>
        </xdr:from>
        <xdr:ext cx="281940" cy="25908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CF3A7956-B8A1-48FF-B97E-6FBDECD793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0</xdr:row>
          <xdr:rowOff>213360</xdr:rowOff>
        </xdr:from>
        <xdr:to>
          <xdr:col>5</xdr:col>
          <xdr:colOff>510540</xdr:colOff>
          <xdr:row>2</xdr:row>
          <xdr:rowOff>30480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2D63F88D-3C50-4749-BF65-1A3F983BCF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228600</xdr:colOff>
          <xdr:row>0</xdr:row>
          <xdr:rowOff>213360</xdr:rowOff>
        </xdr:from>
        <xdr:ext cx="281940" cy="259080"/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7A2490F-974A-4623-8FDA-6D2DC4872C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297180</xdr:colOff>
          <xdr:row>8</xdr:row>
          <xdr:rowOff>205740</xdr:rowOff>
        </xdr:from>
        <xdr:to>
          <xdr:col>1</xdr:col>
          <xdr:colOff>579120</xdr:colOff>
          <xdr:row>10</xdr:row>
          <xdr:rowOff>22860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2718C7AA-E64C-4168-8977-BF3FF0B91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220980</xdr:colOff>
          <xdr:row>8</xdr:row>
          <xdr:rowOff>213360</xdr:rowOff>
        </xdr:from>
        <xdr:ext cx="281940" cy="259080"/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78B3805F-A10F-46A6-933B-442477CFF0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228600</xdr:colOff>
          <xdr:row>0</xdr:row>
          <xdr:rowOff>213360</xdr:rowOff>
        </xdr:from>
        <xdr:ext cx="281940" cy="259080"/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B1F5D4BC-E449-4E2C-AAE7-7A16E595BC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7" Type="http://schemas.openxmlformats.org/officeDocument/2006/relationships/ctrlProp" Target="../ctrlProps/ctrlProp10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9555-442D-4E3C-A7E6-CD0133E98653}">
  <dimension ref="A1:M16"/>
  <sheetViews>
    <sheetView tabSelected="1" workbookViewId="0">
      <selection activeCell="M4" sqref="M4"/>
    </sheetView>
  </sheetViews>
  <sheetFormatPr defaultRowHeight="17.399999999999999"/>
  <cols>
    <col min="1" max="8" width="8.796875" style="1"/>
    <col min="9" max="9" width="8.59765625" style="1" bestFit="1" customWidth="1"/>
    <col min="10" max="10" width="8.796875" style="1"/>
    <col min="11" max="11" width="10.3984375" style="1" bestFit="1" customWidth="1"/>
    <col min="12" max="12" width="8.796875" style="1"/>
    <col min="13" max="13" width="12.3984375" style="1" bestFit="1" customWidth="1"/>
    <col min="14" max="16384" width="8.796875" style="1"/>
  </cols>
  <sheetData>
    <row r="1" spans="1:13">
      <c r="A1" s="12" t="s">
        <v>7</v>
      </c>
      <c r="B1" s="3" t="s">
        <v>0</v>
      </c>
      <c r="C1" s="3" t="s">
        <v>1</v>
      </c>
      <c r="D1" s="3" t="s">
        <v>2</v>
      </c>
      <c r="E1" s="2"/>
      <c r="F1" s="5" t="s">
        <v>3</v>
      </c>
      <c r="G1" s="6" t="s">
        <v>4</v>
      </c>
      <c r="H1" s="11" t="s">
        <v>26</v>
      </c>
    </row>
    <row r="2" spans="1:13">
      <c r="A2" s="12"/>
      <c r="B2" s="4">
        <v>15185</v>
      </c>
      <c r="C2" s="4">
        <v>436</v>
      </c>
      <c r="D2" s="4">
        <v>729</v>
      </c>
      <c r="E2" s="2"/>
      <c r="F2" s="4"/>
      <c r="G2" s="4"/>
      <c r="H2" s="4"/>
    </row>
    <row r="3" spans="1:13">
      <c r="A3" s="2"/>
      <c r="B3" s="15" t="s">
        <v>78</v>
      </c>
      <c r="C3" s="15"/>
      <c r="D3" s="15"/>
      <c r="E3" s="2"/>
      <c r="F3" s="2"/>
      <c r="G3" s="2"/>
      <c r="H3" s="2"/>
    </row>
    <row r="4" spans="1:13">
      <c r="A4" s="2"/>
      <c r="B4" s="2"/>
      <c r="C4" s="2"/>
      <c r="D4" s="2"/>
      <c r="E4" s="2"/>
      <c r="F4" s="2"/>
      <c r="G4" s="2"/>
      <c r="H4" s="2"/>
    </row>
    <row r="5" spans="1:13">
      <c r="A5" s="12" t="s">
        <v>32</v>
      </c>
      <c r="B5" s="3" t="s">
        <v>33</v>
      </c>
      <c r="C5" s="3" t="s">
        <v>34</v>
      </c>
      <c r="E5" s="7" t="s">
        <v>37</v>
      </c>
      <c r="F5" s="7"/>
      <c r="G5" s="7"/>
      <c r="H5" s="7"/>
      <c r="I5" s="7"/>
    </row>
    <row r="6" spans="1:13">
      <c r="A6" s="12"/>
      <c r="B6" s="4"/>
      <c r="C6" s="4" t="s">
        <v>14</v>
      </c>
      <c r="E6" s="7" t="s">
        <v>76</v>
      </c>
      <c r="F6" s="7"/>
      <c r="G6" s="7"/>
      <c r="H6" s="7"/>
      <c r="I6" s="7"/>
    </row>
    <row r="9" spans="1:13">
      <c r="A9" s="10" t="s">
        <v>6</v>
      </c>
      <c r="B9" s="9" t="s">
        <v>5</v>
      </c>
      <c r="C9" s="9" t="s">
        <v>8</v>
      </c>
      <c r="D9" s="9" t="s">
        <v>9</v>
      </c>
      <c r="E9" s="9" t="s">
        <v>10</v>
      </c>
      <c r="F9" s="9" t="s">
        <v>11</v>
      </c>
    </row>
    <row r="10" spans="1:13">
      <c r="A10" s="10"/>
      <c r="B10" s="4"/>
      <c r="C10" s="4"/>
      <c r="D10" s="4" t="s">
        <v>14</v>
      </c>
      <c r="E10" s="4" t="s">
        <v>14</v>
      </c>
      <c r="F10" s="4" t="s">
        <v>14</v>
      </c>
    </row>
    <row r="11" spans="1:13">
      <c r="B11" s="15" t="s">
        <v>77</v>
      </c>
      <c r="C11" s="15"/>
    </row>
    <row r="13" spans="1:13">
      <c r="A13" s="12" t="s">
        <v>35</v>
      </c>
      <c r="B13" s="3" t="s">
        <v>0</v>
      </c>
      <c r="C13" s="3" t="s">
        <v>1</v>
      </c>
      <c r="D13" s="3" t="s">
        <v>2</v>
      </c>
      <c r="E13" s="3" t="s">
        <v>12</v>
      </c>
      <c r="F13" s="3" t="s">
        <v>13</v>
      </c>
      <c r="G13" s="3" t="s">
        <v>20</v>
      </c>
      <c r="H13" s="3" t="s">
        <v>21</v>
      </c>
      <c r="I13" s="3" t="s">
        <v>19</v>
      </c>
      <c r="J13" s="3" t="s">
        <v>25</v>
      </c>
      <c r="K13" s="3" t="s">
        <v>23</v>
      </c>
      <c r="L13" s="71" t="s">
        <v>75</v>
      </c>
      <c r="M13" s="7" t="s">
        <v>40</v>
      </c>
    </row>
    <row r="14" spans="1:13">
      <c r="A14" s="12"/>
      <c r="B14" s="4">
        <f>B2+계산식!B13</f>
        <v>19558.28</v>
      </c>
      <c r="C14" s="4">
        <f>C2+계산식!C13</f>
        <v>436</v>
      </c>
      <c r="D14" s="4">
        <f>D2+계산식!D13</f>
        <v>729</v>
      </c>
      <c r="E14" s="4">
        <f>E2+계산식!E13</f>
        <v>0</v>
      </c>
      <c r="F14" s="4">
        <f>100+F2+계산식!F13</f>
        <v>100</v>
      </c>
      <c r="G14" s="4">
        <f>5+G2+계산식!G13</f>
        <v>5</v>
      </c>
      <c r="H14" s="4">
        <f>50+H2+계산식!H13</f>
        <v>50</v>
      </c>
      <c r="I14" s="4">
        <f>I2+계산식!I13</f>
        <v>0</v>
      </c>
      <c r="J14" s="4">
        <f>J2+계산식!J13</f>
        <v>0</v>
      </c>
      <c r="K14" s="4">
        <f>K2+계산식!K13</f>
        <v>0</v>
      </c>
      <c r="L14" s="71"/>
      <c r="M14" s="7"/>
    </row>
    <row r="15" spans="1:13">
      <c r="A15" s="12" t="s">
        <v>27</v>
      </c>
      <c r="B15" s="3" t="s">
        <v>0</v>
      </c>
      <c r="C15" s="3" t="s">
        <v>1</v>
      </c>
      <c r="D15" s="3" t="s">
        <v>2</v>
      </c>
      <c r="E15" s="3" t="s">
        <v>12</v>
      </c>
      <c r="F15" s="3" t="s">
        <v>13</v>
      </c>
      <c r="G15" s="3" t="s">
        <v>20</v>
      </c>
      <c r="H15" s="3" t="s">
        <v>21</v>
      </c>
      <c r="I15" s="3" t="s">
        <v>19</v>
      </c>
      <c r="J15" s="3" t="s">
        <v>25</v>
      </c>
      <c r="K15" s="3" t="s">
        <v>23</v>
      </c>
    </row>
    <row r="16" spans="1:13">
      <c r="A16" s="12"/>
      <c r="B16" s="4">
        <f>B2+계산식!B15</f>
        <v>53736.44</v>
      </c>
      <c r="C16" s="4">
        <f>C2+계산식!C15</f>
        <v>747</v>
      </c>
      <c r="D16" s="4">
        <f>D2+계산식!D15</f>
        <v>729</v>
      </c>
      <c r="E16" s="4">
        <f>계산식!E15</f>
        <v>50</v>
      </c>
      <c r="F16" s="4">
        <f>계산식!F15+100</f>
        <v>100</v>
      </c>
      <c r="G16" s="4">
        <f>계산식!G15+5</f>
        <v>5</v>
      </c>
      <c r="H16" s="4">
        <f>계산식!H15+50</f>
        <v>50</v>
      </c>
      <c r="I16" s="4">
        <f>계산식!I15</f>
        <v>0</v>
      </c>
      <c r="J16" s="4">
        <f>계산식!J15</f>
        <v>0</v>
      </c>
      <c r="K16" s="4">
        <f>계산식!K15</f>
        <v>0</v>
      </c>
    </row>
  </sheetData>
  <sheetProtection selectLockedCells="1"/>
  <mergeCells count="11">
    <mergeCell ref="B3:D3"/>
    <mergeCell ref="E5:I5"/>
    <mergeCell ref="E6:I6"/>
    <mergeCell ref="L13:L14"/>
    <mergeCell ref="M13:M14"/>
    <mergeCell ref="B11:C11"/>
    <mergeCell ref="A1:A2"/>
    <mergeCell ref="A9:A10"/>
    <mergeCell ref="A15:A16"/>
    <mergeCell ref="A5:A6"/>
    <mergeCell ref="A13:A1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5</xdr:col>
                    <xdr:colOff>228600</xdr:colOff>
                    <xdr:row>0</xdr:row>
                    <xdr:rowOff>213360</xdr:rowOff>
                  </from>
                  <to>
                    <xdr:col>5</xdr:col>
                    <xdr:colOff>510540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220980</xdr:colOff>
                    <xdr:row>8</xdr:row>
                    <xdr:rowOff>213360</xdr:rowOff>
                  </from>
                  <to>
                    <xdr:col>1</xdr:col>
                    <xdr:colOff>502920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2</xdr:col>
                    <xdr:colOff>220980</xdr:colOff>
                    <xdr:row>8</xdr:row>
                    <xdr:rowOff>213360</xdr:rowOff>
                  </from>
                  <to>
                    <xdr:col>2</xdr:col>
                    <xdr:colOff>502920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7</xdr:col>
                    <xdr:colOff>228600</xdr:colOff>
                    <xdr:row>0</xdr:row>
                    <xdr:rowOff>213360</xdr:rowOff>
                  </from>
                  <to>
                    <xdr:col>7</xdr:col>
                    <xdr:colOff>510540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228600</xdr:colOff>
                    <xdr:row>0</xdr:row>
                    <xdr:rowOff>213360</xdr:rowOff>
                  </from>
                  <to>
                    <xdr:col>6</xdr:col>
                    <xdr:colOff>510540</xdr:colOff>
                    <xdr:row>2</xdr:row>
                    <xdr:rowOff>30480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960C58C-D8C2-4523-9DDB-06F55B0853ED}">
          <x14:formula1>
            <xm:f>계산식!$C$2:$C$6</xm:f>
          </x14:formula1>
          <xm:sqref>D10</xm:sqref>
        </x14:dataValidation>
        <x14:dataValidation type="list" allowBlank="1" showInputMessage="1" showErrorMessage="1" xr:uid="{E22E8378-26A7-4231-ACFA-8C3E8FC5142B}">
          <x14:formula1>
            <xm:f>계산식!$D$2:$D$7</xm:f>
          </x14:formula1>
          <xm:sqref>E10</xm:sqref>
        </x14:dataValidation>
        <x14:dataValidation type="list" allowBlank="1" showInputMessage="1" showErrorMessage="1" xr:uid="{D19D68BA-3291-458A-86BE-EBCD226AB1C7}">
          <x14:formula1>
            <xm:f>계산식!$E$2:$E$8</xm:f>
          </x14:formula1>
          <xm:sqref>F10</xm:sqref>
        </x14:dataValidation>
        <x14:dataValidation type="list" allowBlank="1" showInputMessage="1" showErrorMessage="1" xr:uid="{B5CFB101-C54F-42D5-BC76-52626C52DD26}">
          <x14:formula1>
            <xm:f>계산식!$A$27:$B$27</xm:f>
          </x14:formula1>
          <xm:sqref>I10</xm:sqref>
        </x14:dataValidation>
        <x14:dataValidation type="list" allowBlank="1" showInputMessage="1" showErrorMessage="1" xr:uid="{5DAF6614-2693-495F-B6D3-891681C24369}">
          <x14:formula1>
            <xm:f>계산식!$B$23:$L$23</xm:f>
          </x14:formula1>
          <xm:sqref>B6</xm:sqref>
        </x14:dataValidation>
        <x14:dataValidation type="list" allowBlank="1" showInputMessage="1" showErrorMessage="1" xr:uid="{CC430E9F-D5DF-4560-AE3C-F289045EABBF}">
          <x14:formula1>
            <xm:f>계산식!$B$25:$L$25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BCA3-8CA4-4DCA-88E4-CFAACD0223D4}">
  <dimension ref="A1:T27"/>
  <sheetViews>
    <sheetView topLeftCell="A10" workbookViewId="0">
      <selection activeCell="D16" sqref="D16"/>
    </sheetView>
  </sheetViews>
  <sheetFormatPr defaultRowHeight="17.399999999999999"/>
  <cols>
    <col min="1" max="4" width="8.796875" style="1"/>
    <col min="5" max="5" width="10.3984375" style="1" bestFit="1" customWidth="1"/>
    <col min="6" max="9" width="8.796875" style="1"/>
    <col min="10" max="10" width="9.09765625" style="1" customWidth="1"/>
    <col min="11" max="11" width="10.3984375" style="1" bestFit="1" customWidth="1"/>
    <col min="12" max="19" width="8.796875" style="1"/>
    <col min="20" max="20" width="10.3984375" style="1" bestFit="1" customWidth="1"/>
    <col min="21" max="16384" width="8.796875" style="1"/>
  </cols>
  <sheetData>
    <row r="1" spans="1:20">
      <c r="A1" s="13" t="s">
        <v>5</v>
      </c>
      <c r="B1" s="13" t="s">
        <v>8</v>
      </c>
      <c r="C1" s="13" t="s">
        <v>9</v>
      </c>
      <c r="D1" s="13" t="s">
        <v>10</v>
      </c>
      <c r="E1" s="13" t="s">
        <v>11</v>
      </c>
      <c r="G1" s="13" t="s">
        <v>3</v>
      </c>
      <c r="H1" s="13" t="s">
        <v>4</v>
      </c>
      <c r="I1" s="13" t="s">
        <v>26</v>
      </c>
      <c r="K1" s="1" t="s">
        <v>15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20</v>
      </c>
      <c r="Q1" s="1" t="s">
        <v>21</v>
      </c>
      <c r="R1" s="1" t="s">
        <v>19</v>
      </c>
      <c r="S1" s="1" t="s">
        <v>25</v>
      </c>
      <c r="T1" s="1" t="s">
        <v>23</v>
      </c>
    </row>
    <row r="2" spans="1:20">
      <c r="A2" s="1">
        <v>4780</v>
      </c>
      <c r="B2" s="1">
        <v>311</v>
      </c>
      <c r="C2" s="1" t="s">
        <v>15</v>
      </c>
      <c r="D2" s="1" t="s">
        <v>15</v>
      </c>
      <c r="E2" s="1" t="s">
        <v>15</v>
      </c>
      <c r="G2" s="1">
        <v>0.25</v>
      </c>
      <c r="H2" s="1">
        <v>0.25</v>
      </c>
      <c r="I2" s="1">
        <v>50</v>
      </c>
      <c r="K2" s="1">
        <v>0.46600000000000003</v>
      </c>
      <c r="L2" s="1">
        <v>0.46600000000000003</v>
      </c>
      <c r="M2" s="1">
        <v>0.58299999999999996</v>
      </c>
      <c r="N2" s="1">
        <v>187</v>
      </c>
      <c r="O2" s="1">
        <v>51.8</v>
      </c>
      <c r="P2" s="1">
        <v>31.1</v>
      </c>
      <c r="Q2" s="1">
        <v>62.2</v>
      </c>
      <c r="R2" s="1">
        <v>46.6</v>
      </c>
      <c r="S2" s="1">
        <v>58.3</v>
      </c>
      <c r="T2" s="1">
        <v>35.9</v>
      </c>
    </row>
    <row r="3" spans="1:20">
      <c r="A3" s="1" t="s">
        <v>28</v>
      </c>
      <c r="B3" s="1" t="s">
        <v>29</v>
      </c>
      <c r="C3" s="1" t="s">
        <v>16</v>
      </c>
      <c r="D3" s="1" t="s">
        <v>16</v>
      </c>
      <c r="E3" s="1" t="s">
        <v>16</v>
      </c>
      <c r="G3" s="1" t="s">
        <v>15</v>
      </c>
      <c r="H3" s="1" t="s">
        <v>16</v>
      </c>
      <c r="I3" s="1" t="s">
        <v>12</v>
      </c>
    </row>
    <row r="4" spans="1:20">
      <c r="C4" s="1" t="s">
        <v>17</v>
      </c>
      <c r="D4" s="1" t="s">
        <v>17</v>
      </c>
      <c r="E4" s="1" t="s">
        <v>17</v>
      </c>
    </row>
    <row r="5" spans="1:20">
      <c r="C5" s="1" t="s">
        <v>12</v>
      </c>
      <c r="D5" s="1" t="s">
        <v>12</v>
      </c>
      <c r="E5" s="1" t="s">
        <v>12</v>
      </c>
    </row>
    <row r="6" spans="1:20">
      <c r="C6" s="1" t="s">
        <v>13</v>
      </c>
      <c r="D6" s="1" t="s">
        <v>19</v>
      </c>
      <c r="E6" s="1" t="s">
        <v>20</v>
      </c>
      <c r="N6" s="70" t="s">
        <v>74</v>
      </c>
      <c r="O6" s="70"/>
      <c r="P6" s="70"/>
      <c r="Q6" s="70"/>
      <c r="R6" s="70"/>
      <c r="S6" s="70"/>
      <c r="T6" s="70"/>
    </row>
    <row r="7" spans="1:20">
      <c r="D7" s="1" t="s">
        <v>25</v>
      </c>
      <c r="E7" s="1" t="s">
        <v>21</v>
      </c>
      <c r="N7" s="70"/>
      <c r="O7" s="70"/>
      <c r="P7" s="70"/>
      <c r="Q7" s="70"/>
      <c r="R7" s="70"/>
      <c r="S7" s="70"/>
      <c r="T7" s="70"/>
    </row>
    <row r="8" spans="1:20">
      <c r="E8" s="1" t="s">
        <v>23</v>
      </c>
      <c r="N8" s="70"/>
      <c r="O8" s="70"/>
      <c r="P8" s="70"/>
      <c r="Q8" s="70"/>
      <c r="R8" s="70"/>
      <c r="S8" s="70"/>
      <c r="T8" s="70"/>
    </row>
    <row r="9" spans="1:20">
      <c r="N9" s="70"/>
      <c r="O9" s="70"/>
      <c r="P9" s="70"/>
      <c r="Q9" s="70"/>
      <c r="R9" s="70"/>
      <c r="S9" s="70"/>
      <c r="T9" s="70"/>
    </row>
    <row r="10" spans="1:20">
      <c r="A10" s="12" t="s">
        <v>7</v>
      </c>
      <c r="B10" s="3" t="s">
        <v>0</v>
      </c>
      <c r="C10" s="3" t="s">
        <v>1</v>
      </c>
      <c r="D10" s="3" t="s">
        <v>2</v>
      </c>
      <c r="N10" s="70"/>
      <c r="O10" s="70"/>
      <c r="P10" s="70"/>
      <c r="Q10" s="70"/>
      <c r="R10" s="70"/>
      <c r="S10" s="70"/>
      <c r="T10" s="70"/>
    </row>
    <row r="11" spans="1:20">
      <c r="A11" s="12"/>
      <c r="B11" s="4">
        <f>계산기!B2</f>
        <v>15185</v>
      </c>
      <c r="C11" s="4">
        <f>계산기!C2</f>
        <v>436</v>
      </c>
      <c r="D11" s="4">
        <f>계산기!D2</f>
        <v>729</v>
      </c>
      <c r="N11" s="70"/>
      <c r="O11" s="70"/>
      <c r="P11" s="70"/>
      <c r="Q11" s="70"/>
      <c r="R11" s="70"/>
      <c r="S11" s="70"/>
      <c r="T11" s="70"/>
    </row>
    <row r="12" spans="1:20">
      <c r="A12" s="19" t="s">
        <v>36</v>
      </c>
      <c r="B12" s="3" t="s">
        <v>0</v>
      </c>
      <c r="C12" s="3" t="s">
        <v>1</v>
      </c>
      <c r="D12" s="3" t="s">
        <v>2</v>
      </c>
      <c r="E12" s="3" t="s">
        <v>12</v>
      </c>
      <c r="F12" s="3" t="s">
        <v>13</v>
      </c>
      <c r="G12" s="3" t="s">
        <v>20</v>
      </c>
      <c r="H12" s="3" t="s">
        <v>21</v>
      </c>
      <c r="I12" s="3" t="s">
        <v>19</v>
      </c>
      <c r="J12" s="3" t="s">
        <v>25</v>
      </c>
      <c r="K12" s="3" t="s">
        <v>23</v>
      </c>
      <c r="N12" s="70"/>
      <c r="O12" s="70"/>
      <c r="P12" s="70"/>
      <c r="Q12" s="70"/>
      <c r="R12" s="70"/>
      <c r="S12" s="70"/>
      <c r="T12" s="70"/>
    </row>
    <row r="13" spans="1:20">
      <c r="A13" s="17"/>
      <c r="B13" s="4">
        <f>IF(계산기!B6=K1,B11*D24)+IF(계산기!C6=K1,B11*D26)</f>
        <v>4373.28</v>
      </c>
      <c r="C13" s="4">
        <f>IF(계산기!B6=L1,C11*B24)+IF(계산기!C6=L1,C11*B26)</f>
        <v>0</v>
      </c>
      <c r="D13" s="4">
        <f>IF(계산기!B6=M1,D11*C24)+IF(계산기!C6=M1,D11*C26)</f>
        <v>0</v>
      </c>
      <c r="E13" s="4">
        <f>IF(계산기!B6=N1,E24)+IF(계산기!C6=N1,E26)</f>
        <v>0</v>
      </c>
      <c r="F13" s="4">
        <f>IF(계산기!B6=O1,계산식!F24)+IF(계산기!C6=O1,계산식!F26)</f>
        <v>0</v>
      </c>
      <c r="G13" s="4">
        <f>IF(계산기!B6=P1,G24)+IF(계산기!C6=P1,G26)</f>
        <v>0</v>
      </c>
      <c r="H13" s="4">
        <f>IF(계산기!B6=Q1,계산식!H24)+IF(계산기!C6=Q1,계산식!H26)</f>
        <v>0</v>
      </c>
      <c r="I13" s="4">
        <f>IF(계산기!B6=R1,계산식!I24)+IF(계산기!C6=R1,계산식!I26)</f>
        <v>0</v>
      </c>
      <c r="J13" s="4">
        <f>IF(계산기!B6=S1,계산식!J24)+IF(계산기!C6=S1,계산식!J26)</f>
        <v>0</v>
      </c>
      <c r="K13" s="4">
        <f>IF(계산기!B6=T1,계산식!K24)+IF(계산기!C6=T1,계산식!K26)</f>
        <v>0</v>
      </c>
    </row>
    <row r="14" spans="1:20">
      <c r="A14" s="16" t="s">
        <v>30</v>
      </c>
      <c r="B14" s="3" t="s">
        <v>0</v>
      </c>
      <c r="C14" s="3" t="s">
        <v>1</v>
      </c>
      <c r="D14" s="3" t="s">
        <v>2</v>
      </c>
      <c r="E14" s="3" t="s">
        <v>12</v>
      </c>
      <c r="F14" s="3" t="s">
        <v>13</v>
      </c>
      <c r="G14" s="3" t="s">
        <v>20</v>
      </c>
      <c r="H14" s="3" t="s">
        <v>21</v>
      </c>
      <c r="I14" s="3" t="s">
        <v>18</v>
      </c>
      <c r="J14" s="3" t="s">
        <v>24</v>
      </c>
      <c r="K14" s="3" t="s">
        <v>22</v>
      </c>
    </row>
    <row r="15" spans="1:20">
      <c r="A15" s="17"/>
      <c r="B15" s="4">
        <f>B13+IF(C19=K1,B11*K2)+IF(D19=K1,B11*K2)+IF(E19=K1,B11*K2)+IF(F19=TRUE,B11*0.25)+IF(계산기!B6=K1,B11*D24)+IF(계산기!C6=K1,B11*D26)+IF(A19=TRUE,A2)</f>
        <v>38551.440000000002</v>
      </c>
      <c r="C15" s="4">
        <f>C13+IF(C19=L1,C11*L2)+IF(D19=L1,C11*L2)+IF(E19=L1,C11*L2)+IF(G19=TRUE,C11*0.25)+IF(B19=TRUE,B2)</f>
        <v>311</v>
      </c>
      <c r="D15" s="4">
        <f>D13+IF(C19=M1,D11*M2)+IF(D19=M1,D11*M2)+IF(E19=M1,D11*M2)</f>
        <v>0</v>
      </c>
      <c r="E15" s="4">
        <f>E13+IF(C19=N1,N2)+IF(D19=N1,N2)+IF(E19=N1,N2)+IF(H19=TRUE,I2)</f>
        <v>50</v>
      </c>
      <c r="F15" s="4">
        <f>F13+IF(C19=O1,O2)</f>
        <v>0</v>
      </c>
      <c r="G15" s="4">
        <f>G13+IF(E19=P1,P2)</f>
        <v>0</v>
      </c>
      <c r="H15" s="4">
        <f>H13+IF(E19=Q1,Q2)</f>
        <v>0</v>
      </c>
      <c r="I15" s="4">
        <f>I13+IF(D19=R1,R2)</f>
        <v>0</v>
      </c>
      <c r="J15" s="4">
        <f>J13+IF(D19=S1,S2)</f>
        <v>0</v>
      </c>
      <c r="K15" s="4">
        <f>K13+IF(E19=T1,T2)</f>
        <v>0</v>
      </c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8" spans="1:11">
      <c r="A18" s="14" t="s">
        <v>5</v>
      </c>
      <c r="B18" s="14" t="s">
        <v>8</v>
      </c>
      <c r="C18" s="14" t="s">
        <v>9</v>
      </c>
      <c r="D18" s="14" t="s">
        <v>10</v>
      </c>
      <c r="E18" s="14" t="s">
        <v>11</v>
      </c>
      <c r="F18" s="14" t="s">
        <v>3</v>
      </c>
      <c r="G18" s="14" t="s">
        <v>4</v>
      </c>
      <c r="H18" s="14" t="s">
        <v>26</v>
      </c>
    </row>
    <row r="19" spans="1:11">
      <c r="A19" s="4" t="b">
        <v>1</v>
      </c>
      <c r="B19" s="4" t="b">
        <v>1</v>
      </c>
      <c r="C19" s="4" t="str">
        <f>계산기!D10</f>
        <v>체%</v>
      </c>
      <c r="D19" s="4" t="str">
        <f>계산기!E10</f>
        <v>체%</v>
      </c>
      <c r="E19" s="4" t="str">
        <f>계산기!F10</f>
        <v>체%</v>
      </c>
      <c r="F19" s="4" t="b">
        <v>1</v>
      </c>
      <c r="G19" s="4" t="b">
        <v>0</v>
      </c>
      <c r="H19" s="4" t="b">
        <v>1</v>
      </c>
    </row>
    <row r="20" spans="1:11">
      <c r="A20" s="18"/>
      <c r="B20" s="18"/>
      <c r="C20" s="18"/>
    </row>
    <row r="21" spans="1:11">
      <c r="A21" s="1" t="s">
        <v>31</v>
      </c>
    </row>
    <row r="22" spans="1:11">
      <c r="A22" s="14" t="s">
        <v>32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8" t="s">
        <v>33</v>
      </c>
      <c r="B23" s="14" t="s">
        <v>16</v>
      </c>
      <c r="C23" s="14" t="s">
        <v>17</v>
      </c>
      <c r="D23" s="14" t="s">
        <v>15</v>
      </c>
      <c r="E23" s="14" t="s">
        <v>12</v>
      </c>
      <c r="F23" s="14" t="s">
        <v>13</v>
      </c>
      <c r="G23" s="14" t="s">
        <v>20</v>
      </c>
      <c r="H23" s="14" t="s">
        <v>21</v>
      </c>
      <c r="I23" s="14" t="s">
        <v>19</v>
      </c>
      <c r="J23" s="14" t="s">
        <v>25</v>
      </c>
      <c r="K23" s="14" t="s">
        <v>23</v>
      </c>
    </row>
    <row r="24" spans="1:11">
      <c r="A24" s="8"/>
      <c r="B24" s="4">
        <v>0.24</v>
      </c>
      <c r="C24" s="4">
        <v>0.3</v>
      </c>
      <c r="D24" s="4">
        <v>0.24</v>
      </c>
      <c r="E24" s="4">
        <v>96</v>
      </c>
      <c r="F24" s="4">
        <v>26.7</v>
      </c>
      <c r="G24" s="9">
        <v>16</v>
      </c>
      <c r="H24" s="9">
        <v>32</v>
      </c>
      <c r="I24" s="4">
        <v>24</v>
      </c>
      <c r="J24" s="4">
        <v>30</v>
      </c>
      <c r="K24" s="9">
        <v>18.5</v>
      </c>
    </row>
    <row r="25" spans="1:11">
      <c r="A25" s="8" t="s">
        <v>34</v>
      </c>
      <c r="B25" s="14" t="s">
        <v>16</v>
      </c>
      <c r="C25" s="14" t="s">
        <v>17</v>
      </c>
      <c r="D25" s="14" t="s">
        <v>15</v>
      </c>
      <c r="E25" s="14" t="s">
        <v>12</v>
      </c>
      <c r="F25" s="14" t="s">
        <v>13</v>
      </c>
      <c r="G25" s="14" t="s">
        <v>20</v>
      </c>
      <c r="H25" s="14" t="s">
        <v>21</v>
      </c>
      <c r="I25" s="14" t="s">
        <v>19</v>
      </c>
      <c r="J25" s="14" t="s">
        <v>25</v>
      </c>
      <c r="K25" s="14" t="s">
        <v>23</v>
      </c>
    </row>
    <row r="26" spans="1:11">
      <c r="A26" s="8"/>
      <c r="B26" s="9">
        <v>0.28799999999999998</v>
      </c>
      <c r="C26" s="9">
        <v>0.36</v>
      </c>
      <c r="D26" s="4">
        <v>0.28799999999999998</v>
      </c>
      <c r="E26" s="4">
        <v>115</v>
      </c>
      <c r="F26" s="4">
        <v>32</v>
      </c>
      <c r="G26" s="4">
        <v>19.2</v>
      </c>
      <c r="H26" s="4">
        <v>38.4</v>
      </c>
      <c r="I26" s="4">
        <v>28.8</v>
      </c>
      <c r="J26" s="9">
        <v>36</v>
      </c>
      <c r="K26" s="4">
        <v>22.2</v>
      </c>
    </row>
    <row r="27" spans="1:11">
      <c r="A27" s="15" t="s">
        <v>38</v>
      </c>
      <c r="B27" s="15"/>
      <c r="C27" s="15"/>
      <c r="D27" s="15"/>
    </row>
  </sheetData>
  <mergeCells count="7">
    <mergeCell ref="N6:T12"/>
    <mergeCell ref="A10:A11"/>
    <mergeCell ref="A23:A24"/>
    <mergeCell ref="A25:A26"/>
    <mergeCell ref="A27:D27"/>
    <mergeCell ref="A14:A15"/>
    <mergeCell ref="A12:A13"/>
  </mergeCells>
  <phoneticPr fontId="1" type="noConversion"/>
  <pageMargins left="0.7" right="0.7" top="0.75" bottom="0.75" header="0.3" footer="0.3"/>
  <ignoredErrors>
    <ignoredError sqref="G15 F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CD16-EA20-461B-B2F6-186AE8AF9A2A}">
  <dimension ref="A1:W38"/>
  <sheetViews>
    <sheetView topLeftCell="A16" zoomScale="85" zoomScaleNormal="85" workbookViewId="0">
      <selection activeCell="E29" sqref="E29"/>
    </sheetView>
  </sheetViews>
  <sheetFormatPr defaultRowHeight="17.399999999999999"/>
  <cols>
    <col min="1" max="1" width="8.796875" style="26"/>
    <col min="2" max="2" width="10.3984375" style="26" bestFit="1" customWidth="1"/>
    <col min="3" max="4" width="9.3984375" style="26" bestFit="1" customWidth="1"/>
    <col min="5" max="5" width="10.3984375" style="26" bestFit="1" customWidth="1"/>
    <col min="6" max="8" width="8.8984375" style="26" bestFit="1" customWidth="1"/>
    <col min="9" max="9" width="12.59765625" style="26" bestFit="1" customWidth="1"/>
    <col min="10" max="10" width="8.8984375" style="26" bestFit="1" customWidth="1"/>
    <col min="11" max="11" width="10.5" style="26" bestFit="1" customWidth="1"/>
    <col min="12" max="12" width="8.796875" style="26"/>
    <col min="13" max="13" width="12.5" style="26" bestFit="1" customWidth="1"/>
    <col min="14" max="21" width="8.8984375" style="26" bestFit="1" customWidth="1"/>
    <col min="22" max="16384" width="8.796875" style="26"/>
  </cols>
  <sheetData>
    <row r="1" spans="1:13">
      <c r="A1" s="20" t="s">
        <v>7</v>
      </c>
      <c r="B1" s="21" t="s">
        <v>0</v>
      </c>
      <c r="C1" s="21" t="s">
        <v>1</v>
      </c>
      <c r="D1" s="21" t="s">
        <v>2</v>
      </c>
      <c r="E1" s="22"/>
      <c r="F1" s="23" t="s">
        <v>3</v>
      </c>
      <c r="G1" s="24" t="s">
        <v>4</v>
      </c>
      <c r="H1" s="25" t="s">
        <v>26</v>
      </c>
    </row>
    <row r="2" spans="1:13">
      <c r="A2" s="20"/>
      <c r="B2" s="27">
        <v>15185</v>
      </c>
      <c r="C2" s="27">
        <v>436</v>
      </c>
      <c r="D2" s="27">
        <v>729</v>
      </c>
      <c r="E2" s="22"/>
      <c r="F2" s="27"/>
      <c r="G2" s="27"/>
      <c r="H2" s="27"/>
    </row>
    <row r="3" spans="1:13">
      <c r="A3" s="22"/>
      <c r="B3" s="22"/>
      <c r="C3" s="22"/>
      <c r="D3" s="22"/>
      <c r="E3" s="22"/>
      <c r="F3" s="22"/>
      <c r="G3" s="22"/>
      <c r="H3" s="22"/>
    </row>
    <row r="4" spans="1:13">
      <c r="A4" s="22"/>
      <c r="B4" s="22"/>
      <c r="C4" s="22"/>
      <c r="D4" s="22"/>
      <c r="E4" s="22"/>
      <c r="F4" s="22"/>
      <c r="G4" s="22"/>
      <c r="H4" s="22"/>
    </row>
    <row r="5" spans="1:13">
      <c r="A5" s="20" t="s">
        <v>32</v>
      </c>
      <c r="B5" s="21" t="s">
        <v>33</v>
      </c>
      <c r="C5" s="21" t="s">
        <v>34</v>
      </c>
      <c r="E5" s="28" t="s">
        <v>37</v>
      </c>
      <c r="F5" s="28"/>
      <c r="G5" s="28"/>
      <c r="H5" s="28"/>
      <c r="I5" s="28"/>
    </row>
    <row r="6" spans="1:13">
      <c r="A6" s="20"/>
      <c r="B6" s="27"/>
      <c r="C6" s="27" t="s">
        <v>14</v>
      </c>
      <c r="E6" s="28" t="s">
        <v>39</v>
      </c>
      <c r="F6" s="28"/>
      <c r="G6" s="28"/>
      <c r="H6" s="28"/>
      <c r="I6" s="28"/>
    </row>
    <row r="9" spans="1:13">
      <c r="A9" s="29" t="s">
        <v>6</v>
      </c>
      <c r="B9" s="30" t="s">
        <v>5</v>
      </c>
      <c r="C9" s="30" t="s">
        <v>8</v>
      </c>
      <c r="D9" s="30" t="s">
        <v>9</v>
      </c>
      <c r="E9" s="30" t="s">
        <v>10</v>
      </c>
      <c r="F9" s="30" t="s">
        <v>11</v>
      </c>
    </row>
    <row r="10" spans="1:13">
      <c r="A10" s="29"/>
      <c r="B10" s="27"/>
      <c r="C10" s="27"/>
      <c r="D10" s="27" t="s">
        <v>14</v>
      </c>
      <c r="E10" s="27" t="s">
        <v>14</v>
      </c>
      <c r="F10" s="27" t="s">
        <v>14</v>
      </c>
    </row>
    <row r="13" spans="1:13">
      <c r="A13" s="20" t="s">
        <v>35</v>
      </c>
      <c r="B13" s="21" t="s">
        <v>0</v>
      </c>
      <c r="C13" s="21" t="s">
        <v>1</v>
      </c>
      <c r="D13" s="21" t="s">
        <v>2</v>
      </c>
      <c r="E13" s="21" t="s">
        <v>12</v>
      </c>
      <c r="F13" s="21" t="s">
        <v>13</v>
      </c>
      <c r="G13" s="21" t="s">
        <v>20</v>
      </c>
      <c r="H13" s="21" t="s">
        <v>21</v>
      </c>
      <c r="I13" s="21" t="s">
        <v>19</v>
      </c>
      <c r="J13" s="21" t="s">
        <v>25</v>
      </c>
      <c r="K13" s="21" t="s">
        <v>23</v>
      </c>
      <c r="M13" s="26" t="s">
        <v>40</v>
      </c>
    </row>
    <row r="14" spans="1:13">
      <c r="A14" s="20"/>
      <c r="B14" s="27">
        <f>B2+계산식!B13</f>
        <v>19558.28</v>
      </c>
      <c r="C14" s="27">
        <f>C2+계산식!C13</f>
        <v>436</v>
      </c>
      <c r="D14" s="27">
        <f>D2+계산식!D13</f>
        <v>729</v>
      </c>
      <c r="E14" s="27">
        <f>E2+계산식!E13</f>
        <v>0</v>
      </c>
      <c r="F14" s="27">
        <f>100+F2+계산식!F13</f>
        <v>100</v>
      </c>
      <c r="G14" s="27">
        <f>5+G2+계산식!G13</f>
        <v>5</v>
      </c>
      <c r="H14" s="27">
        <f>50+H2+계산식!H13</f>
        <v>50</v>
      </c>
      <c r="I14" s="27">
        <f>I2+계산식!I13</f>
        <v>0</v>
      </c>
      <c r="J14" s="27">
        <f>J2+계산식!J13</f>
        <v>0</v>
      </c>
      <c r="K14" s="27">
        <f>K2+계산식!K13</f>
        <v>0</v>
      </c>
    </row>
    <row r="15" spans="1:13">
      <c r="A15" s="20" t="s">
        <v>27</v>
      </c>
      <c r="B15" s="21" t="s">
        <v>0</v>
      </c>
      <c r="C15" s="21" t="s">
        <v>1</v>
      </c>
      <c r="D15" s="21" t="s">
        <v>2</v>
      </c>
      <c r="E15" s="21" t="s">
        <v>12</v>
      </c>
      <c r="F15" s="21" t="s">
        <v>13</v>
      </c>
      <c r="G15" s="21" t="s">
        <v>20</v>
      </c>
      <c r="H15" s="21" t="s">
        <v>21</v>
      </c>
      <c r="I15" s="21" t="s">
        <v>19</v>
      </c>
      <c r="J15" s="21" t="s">
        <v>25</v>
      </c>
      <c r="K15" s="21" t="s">
        <v>23</v>
      </c>
    </row>
    <row r="16" spans="1:13">
      <c r="A16" s="20"/>
      <c r="B16" s="27">
        <f>B2+계산식!B15</f>
        <v>53736.44</v>
      </c>
      <c r="C16" s="27">
        <f>C2+계산식!C15</f>
        <v>747</v>
      </c>
      <c r="D16" s="27">
        <f>D2+계산식!D15</f>
        <v>729</v>
      </c>
      <c r="E16" s="27">
        <f>계산식!E15</f>
        <v>50</v>
      </c>
      <c r="F16" s="27">
        <f>계산식!F15</f>
        <v>0</v>
      </c>
      <c r="G16" s="27">
        <f>계산식!G15</f>
        <v>0</v>
      </c>
      <c r="H16" s="27">
        <f>계산식!H15</f>
        <v>0</v>
      </c>
      <c r="I16" s="27">
        <f>계산식!I15</f>
        <v>0</v>
      </c>
      <c r="J16" s="27">
        <f>계산식!J15</f>
        <v>0</v>
      </c>
      <c r="K16" s="27">
        <f>계산식!K15</f>
        <v>0</v>
      </c>
    </row>
    <row r="17" spans="1:23">
      <c r="A17" s="26" t="s">
        <v>69</v>
      </c>
      <c r="B17" s="22">
        <f>B16+B2*0.4</f>
        <v>59810.44</v>
      </c>
      <c r="C17" s="22"/>
      <c r="D17" s="22"/>
      <c r="E17" s="22"/>
      <c r="F17" s="22"/>
      <c r="G17" s="22"/>
      <c r="H17" s="22"/>
      <c r="I17" s="22"/>
      <c r="J17" s="22"/>
      <c r="K17" s="22"/>
    </row>
    <row r="18" spans="1:23">
      <c r="J18" s="31" t="s">
        <v>64</v>
      </c>
      <c r="K18" s="31"/>
      <c r="L18" s="31"/>
      <c r="M18" s="31" t="s">
        <v>63</v>
      </c>
      <c r="N18" s="31"/>
      <c r="O18" s="31"/>
      <c r="P18" s="31" t="s">
        <v>62</v>
      </c>
      <c r="Q18" s="31"/>
      <c r="R18" s="31"/>
      <c r="S18" s="32" t="s">
        <v>58</v>
      </c>
      <c r="T18" s="32"/>
      <c r="U18" s="32"/>
    </row>
    <row r="19" spans="1:23">
      <c r="A19" s="33" t="s">
        <v>41</v>
      </c>
      <c r="B19" s="20" t="s">
        <v>43</v>
      </c>
      <c r="C19" s="20"/>
      <c r="D19" s="34"/>
      <c r="E19" s="33" t="s">
        <v>0</v>
      </c>
      <c r="F19" s="20" t="s">
        <v>51</v>
      </c>
      <c r="G19" s="20"/>
      <c r="H19" s="33" t="s">
        <v>52</v>
      </c>
      <c r="J19" s="27" t="s">
        <v>54</v>
      </c>
      <c r="K19" s="27" t="s">
        <v>55</v>
      </c>
      <c r="L19" s="27" t="s">
        <v>56</v>
      </c>
      <c r="M19" s="27" t="s">
        <v>54</v>
      </c>
      <c r="N19" s="27" t="s">
        <v>55</v>
      </c>
      <c r="O19" s="27" t="s">
        <v>56</v>
      </c>
      <c r="P19" s="27" t="s">
        <v>54</v>
      </c>
      <c r="Q19" s="27" t="s">
        <v>55</v>
      </c>
      <c r="R19" s="27" t="s">
        <v>56</v>
      </c>
      <c r="S19" s="27" t="s">
        <v>54</v>
      </c>
      <c r="T19" s="27" t="s">
        <v>55</v>
      </c>
      <c r="U19" s="27" t="s">
        <v>56</v>
      </c>
    </row>
    <row r="20" spans="1:23">
      <c r="A20" s="27" t="s">
        <v>42</v>
      </c>
      <c r="B20" s="27">
        <v>0.88200000000000001</v>
      </c>
      <c r="C20" s="27" t="str">
        <f>B20*100&amp;"%"</f>
        <v>88.2%</v>
      </c>
      <c r="D20" s="22"/>
      <c r="E20" s="27">
        <f>B16+B2*B20</f>
        <v>67129.61</v>
      </c>
      <c r="F20" s="35">
        <f>$A$30-E20</f>
        <v>7314.3899999999994</v>
      </c>
      <c r="G20" s="35"/>
      <c r="H20" s="27">
        <f>F20/($B$2/100)</f>
        <v>48.168521567336185</v>
      </c>
      <c r="I20" s="22"/>
      <c r="J20" s="27">
        <f>($F$20-(C33*20))/($B$2/100)</f>
        <v>20.641356601909777</v>
      </c>
      <c r="K20" s="27">
        <f t="shared" ref="K20:L20" si="0">($F$20-(D33*20))/($B$2/100)</f>
        <v>14.714455054329928</v>
      </c>
      <c r="L20" s="27">
        <f t="shared" si="0"/>
        <v>8.7875535067500792</v>
      </c>
      <c r="M20" s="27">
        <f>($F$20-(C33*17))/($B$2/100)</f>
        <v>24.770431346723736</v>
      </c>
      <c r="N20" s="27">
        <f t="shared" ref="N20:O20" si="1">($F$20-(D33*17))/($B$2/100)</f>
        <v>19.732565031280867</v>
      </c>
      <c r="O20" s="27">
        <f t="shared" si="1"/>
        <v>14.694698715837994</v>
      </c>
      <c r="P20" s="27">
        <f>($F$20-(C33*14))/($B$2/100)</f>
        <v>28.899506091537699</v>
      </c>
      <c r="Q20" s="27">
        <f t="shared" ref="Q20:R20" si="2">($F$20-(D33*14))/($B$2/100)</f>
        <v>24.750675008231806</v>
      </c>
      <c r="R20" s="27">
        <f t="shared" si="2"/>
        <v>20.601843924925912</v>
      </c>
      <c r="S20" s="27">
        <f>($F$20-(C33*11))/($B$2/100)</f>
        <v>33.028580836351658</v>
      </c>
      <c r="T20" s="27">
        <f>($F$20-(D33*11))/($B$2/100)</f>
        <v>29.768784985182744</v>
      </c>
      <c r="U20" s="27">
        <f>($F$20-(E33*11))/($B$2/100)</f>
        <v>26.508989134013827</v>
      </c>
    </row>
    <row r="21" spans="1:23">
      <c r="A21" s="27" t="s">
        <v>44</v>
      </c>
      <c r="B21" s="27">
        <v>0.93200000000000005</v>
      </c>
      <c r="C21" s="27" t="str">
        <f t="shared" ref="C21:C24" si="3">B21*100&amp;"%"</f>
        <v>93.2%</v>
      </c>
      <c r="D21" s="22"/>
      <c r="E21" s="27">
        <f t="shared" ref="E21:E24" si="4">$B$16+$B$2*B21</f>
        <v>67888.86</v>
      </c>
      <c r="F21" s="35">
        <f t="shared" ref="F21:F28" si="5">$A$30-E21</f>
        <v>6555.1399999999994</v>
      </c>
      <c r="G21" s="35"/>
      <c r="H21" s="27">
        <f t="shared" ref="H21:H28" si="6">F21/($B$2/100)</f>
        <v>43.168521567336185</v>
      </c>
      <c r="I21" s="22"/>
      <c r="J21" s="27">
        <f>($F$21-(C33*20))/($B$2/100)</f>
        <v>15.641356601909775</v>
      </c>
      <c r="K21" s="27">
        <f t="shared" ref="K21:L21" si="7">($F$21-(D33*20))/($B$2/100)</f>
        <v>9.7144550543299282</v>
      </c>
      <c r="L21" s="27">
        <f t="shared" si="7"/>
        <v>3.7875535067500787</v>
      </c>
      <c r="M21" s="27">
        <f>($F$21-(C33*17))/($B$2/100)</f>
        <v>19.770431346723736</v>
      </c>
      <c r="N21" s="27">
        <f t="shared" ref="N21:O21" si="8">($F$21-(D33*17))/($B$2/100)</f>
        <v>14.732565031280865</v>
      </c>
      <c r="O21" s="27">
        <f t="shared" si="8"/>
        <v>9.694698715837994</v>
      </c>
      <c r="P21" s="27">
        <f>($F$21-(C33*14))/($B$2/100)</f>
        <v>23.899506091537699</v>
      </c>
      <c r="Q21" s="27">
        <f t="shared" ref="Q21:R21" si="9">($F$21-(D33*14))/($B$2/100)</f>
        <v>19.750675008231806</v>
      </c>
      <c r="R21" s="27">
        <f t="shared" si="9"/>
        <v>15.601843924925911</v>
      </c>
      <c r="S21" s="27">
        <f>($F$21-(C33*11))/($B$2/100)</f>
        <v>28.028580836351662</v>
      </c>
      <c r="T21" s="27">
        <f>($F$21-(D33*11))/($B$2/100)</f>
        <v>24.768784985182744</v>
      </c>
      <c r="U21" s="27">
        <f>($F$21-(E33*11))/($B$2/100)</f>
        <v>21.508989134013827</v>
      </c>
    </row>
    <row r="22" spans="1:23">
      <c r="A22" s="27" t="s">
        <v>47</v>
      </c>
      <c r="B22" s="27">
        <v>0.98199999999999998</v>
      </c>
      <c r="C22" s="27" t="str">
        <f t="shared" si="3"/>
        <v>98.2%</v>
      </c>
      <c r="D22" s="22"/>
      <c r="E22" s="27">
        <f t="shared" si="4"/>
        <v>68648.11</v>
      </c>
      <c r="F22" s="35">
        <f t="shared" si="5"/>
        <v>5795.8899999999994</v>
      </c>
      <c r="G22" s="35"/>
      <c r="H22" s="27">
        <f t="shared" si="6"/>
        <v>38.168521567336185</v>
      </c>
      <c r="I22" s="22"/>
      <c r="J22" s="27">
        <f>($F$22-(C33*20))/($B$2/100)</f>
        <v>10.641356601909775</v>
      </c>
      <c r="K22" s="27">
        <f t="shared" ref="K22:L22" si="10">($F$22-(D33*20))/($B$2/100)</f>
        <v>4.7144550543299273</v>
      </c>
      <c r="L22" s="27">
        <f t="shared" si="10"/>
        <v>-1.2124464932499215</v>
      </c>
      <c r="M22" s="27">
        <f>($F$22-(C33*17))/($B$2/100)</f>
        <v>14.770431346723738</v>
      </c>
      <c r="N22" s="27">
        <f t="shared" ref="N22:O22" si="11">($F$22-(D33*17))/($B$2/100)</f>
        <v>9.7325650312808651</v>
      </c>
      <c r="O22" s="27">
        <f t="shared" si="11"/>
        <v>4.694698715837994</v>
      </c>
      <c r="P22" s="27">
        <f>($F$22-(C35*14))/($B$2/100)</f>
        <v>38.168521567336185</v>
      </c>
      <c r="Q22" s="27">
        <f t="shared" ref="Q22:R22" si="12">($F$22-(D35*14))/($B$2/100)</f>
        <v>38.168521567336185</v>
      </c>
      <c r="R22" s="27">
        <f t="shared" si="12"/>
        <v>38.168521567336185</v>
      </c>
      <c r="S22" s="27">
        <f>($F$22-(C33*11))/($B$2/100)</f>
        <v>23.028580836351662</v>
      </c>
      <c r="T22" s="27">
        <f>($F$22-(D33*11))/($B$2/100)</f>
        <v>19.768784985182744</v>
      </c>
      <c r="U22" s="27">
        <f>($F$22-(E33*11))/($B$2/100)</f>
        <v>16.508989134013827</v>
      </c>
    </row>
    <row r="23" spans="1:23">
      <c r="A23" s="27" t="s">
        <v>45</v>
      </c>
      <c r="B23" s="27">
        <v>1.032</v>
      </c>
      <c r="C23" s="27" t="str">
        <f t="shared" si="3"/>
        <v>103.2%</v>
      </c>
      <c r="D23" s="22"/>
      <c r="E23" s="27">
        <f t="shared" si="4"/>
        <v>69407.360000000001</v>
      </c>
      <c r="F23" s="35">
        <f t="shared" si="5"/>
        <v>5036.6399999999994</v>
      </c>
      <c r="G23" s="35"/>
      <c r="H23" s="27">
        <f t="shared" si="6"/>
        <v>33.168521567336185</v>
      </c>
      <c r="I23" s="22"/>
      <c r="J23" s="27">
        <f>($F$23-(C33*20))/($B$2/100)</f>
        <v>5.6413566019097754</v>
      </c>
      <c r="K23" s="27">
        <f t="shared" ref="K23:L23" si="13">($F$23-(D33*20))/($B$2/100)</f>
        <v>-0.28554494567007299</v>
      </c>
      <c r="L23" s="27">
        <f t="shared" si="13"/>
        <v>-6.2124464932499217</v>
      </c>
      <c r="M23" s="27">
        <f>($F$23-(C33*17))/($B$2/100)</f>
        <v>9.7704313467237363</v>
      </c>
      <c r="N23" s="27">
        <f t="shared" ref="N23:O23" si="14">($F$23-(D33*17))/($B$2/100)</f>
        <v>4.732565031280866</v>
      </c>
      <c r="O23" s="27">
        <f t="shared" si="14"/>
        <v>-0.3053012841620058</v>
      </c>
      <c r="P23" s="27">
        <f>($F$23-(C33*14))/($B$2/100)</f>
        <v>13.899506091537699</v>
      </c>
      <c r="Q23" s="27">
        <f t="shared" ref="Q23:R23" si="15">($F$23-(D33*14))/($B$2/100)</f>
        <v>9.7506750082318039</v>
      </c>
      <c r="R23" s="27">
        <f t="shared" si="15"/>
        <v>5.6018439249259098</v>
      </c>
      <c r="S23" s="27">
        <f>($F$23-(C33*11))/($B$2/100)</f>
        <v>18.028580836351658</v>
      </c>
      <c r="T23" s="27">
        <f>($F$23-(D33*11))/($B$2/100)</f>
        <v>14.768784985182743</v>
      </c>
      <c r="U23" s="27">
        <f>($F$23-(E33*11))/($B$2/100)</f>
        <v>11.508989134013826</v>
      </c>
    </row>
    <row r="24" spans="1:23">
      <c r="A24" s="36" t="s">
        <v>46</v>
      </c>
      <c r="B24" s="36">
        <v>1.0820000000000001</v>
      </c>
      <c r="C24" s="36" t="str">
        <f t="shared" si="3"/>
        <v>108.2%</v>
      </c>
      <c r="D24" s="22"/>
      <c r="E24" s="36">
        <f t="shared" si="4"/>
        <v>70166.61</v>
      </c>
      <c r="F24" s="37">
        <f t="shared" si="5"/>
        <v>4277.3899999999994</v>
      </c>
      <c r="G24" s="37"/>
      <c r="H24" s="36">
        <f t="shared" si="6"/>
        <v>28.168521567336185</v>
      </c>
      <c r="I24" s="22"/>
      <c r="J24" s="36">
        <f>($F$24-(C33*20))/($B$2/100)</f>
        <v>0.64135660190977561</v>
      </c>
      <c r="K24" s="36">
        <f t="shared" ref="K24:L24" si="16">($F$24-(D33*20))/($B$2/100)</f>
        <v>-5.2855449456700736</v>
      </c>
      <c r="L24" s="36">
        <f t="shared" si="16"/>
        <v>-11.212446493249923</v>
      </c>
      <c r="M24" s="36">
        <f>($F$24-(C33*17))/($B$2/100)</f>
        <v>4.7704313467237371</v>
      </c>
      <c r="N24" s="36">
        <f t="shared" ref="N24:O24" si="17">($F$24-(D33*17))/($B$2/100)</f>
        <v>-0.26743496871913458</v>
      </c>
      <c r="O24" s="36">
        <f t="shared" si="17"/>
        <v>-5.305301284162006</v>
      </c>
      <c r="P24" s="36">
        <f>($F$24-(C33*14))/($B$2/100)</f>
        <v>8.8995060915376989</v>
      </c>
      <c r="Q24" s="36">
        <f t="shared" ref="Q24:R24" si="18">($F$24-(D33*14))/($B$2/100)</f>
        <v>4.7506750082318039</v>
      </c>
      <c r="R24" s="36">
        <f t="shared" si="18"/>
        <v>0.60184392492590988</v>
      </c>
      <c r="S24" s="36">
        <f>($F$24-(C33*11))/($B$2/100)</f>
        <v>13.02858083635166</v>
      </c>
      <c r="T24" s="36">
        <f>($F$24-(D33*11))/($B$2/100)</f>
        <v>9.7687849851827426</v>
      </c>
      <c r="U24" s="36">
        <f>($F$24-(E33*11))/($B$2/100)</f>
        <v>6.5089891340138255</v>
      </c>
    </row>
    <row r="25" spans="1:23">
      <c r="A25" s="38"/>
      <c r="B25" s="39"/>
      <c r="C25" s="39"/>
      <c r="D25" s="40"/>
      <c r="E25" s="40"/>
      <c r="F25" s="41"/>
      <c r="G25" s="41"/>
      <c r="H25" s="42"/>
      <c r="I25" s="40"/>
      <c r="J25" s="42"/>
      <c r="K25" s="42"/>
      <c r="L25" s="42"/>
      <c r="M25" s="42"/>
      <c r="N25" s="42"/>
      <c r="O25" s="42"/>
      <c r="P25" s="42"/>
      <c r="Q25" s="40"/>
      <c r="R25" s="40"/>
      <c r="S25" s="40"/>
      <c r="T25" s="40"/>
      <c r="U25" s="43"/>
    </row>
    <row r="26" spans="1:23">
      <c r="A26" s="44" t="s">
        <v>48</v>
      </c>
      <c r="B26" s="45" t="s">
        <v>49</v>
      </c>
      <c r="C26" s="46"/>
      <c r="D26" s="47"/>
      <c r="E26" s="48"/>
      <c r="F26" s="49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1"/>
    </row>
    <row r="27" spans="1:23">
      <c r="A27" s="27" t="s">
        <v>42</v>
      </c>
      <c r="B27" s="27">
        <v>0.41299999999999998</v>
      </c>
      <c r="C27" s="27" t="str">
        <f>B27*100&amp;"%"</f>
        <v>41.3%</v>
      </c>
      <c r="D27" s="22"/>
      <c r="E27" s="52">
        <f>$B$16+$B$2*B27</f>
        <v>60007.845000000001</v>
      </c>
      <c r="F27" s="53">
        <f t="shared" si="5"/>
        <v>14436.154999999999</v>
      </c>
      <c r="G27" s="53"/>
      <c r="H27" s="52">
        <f t="shared" si="6"/>
        <v>95.068521567336177</v>
      </c>
      <c r="I27" s="22"/>
      <c r="J27" s="54">
        <f>($F$27-(C33*20))/($B$2/100)</f>
        <v>67.541356601909769</v>
      </c>
      <c r="K27" s="55">
        <f t="shared" ref="K27:L27" si="19">($F$27-(D33*20))/($B$2/100)</f>
        <v>61.614455054329923</v>
      </c>
      <c r="L27" s="56">
        <f t="shared" si="19"/>
        <v>55.687553506750078</v>
      </c>
      <c r="M27" s="54">
        <f>($F$27-(C33*17))/($B$2/100)</f>
        <v>71.670431346723731</v>
      </c>
      <c r="N27" s="55">
        <f t="shared" ref="N27:O27" si="20">($F$27-(D33*17))/($B$2/100)</f>
        <v>66.632565031280862</v>
      </c>
      <c r="O27" s="56">
        <f t="shared" si="20"/>
        <v>61.594698715837993</v>
      </c>
      <c r="P27" s="54">
        <f>($F$27-(C33*14))/($B$2/100)</f>
        <v>75.799506091537694</v>
      </c>
      <c r="Q27" s="55">
        <f t="shared" ref="Q27:R27" si="21">($F$27-(D33*14))/($B$2/100)</f>
        <v>71.650675008231801</v>
      </c>
      <c r="R27" s="56">
        <f t="shared" si="21"/>
        <v>67.501843924925907</v>
      </c>
      <c r="S27" s="54">
        <f>($F$27-(C33*11))/($B$2/100)</f>
        <v>79.928580836351657</v>
      </c>
      <c r="T27" s="55">
        <f>($F$27-(D33*11))/($B$2/100)</f>
        <v>76.668784985182739</v>
      </c>
      <c r="U27" s="56">
        <f>($F$27-(E33*11))/($B$2/100)</f>
        <v>73.408989134013822</v>
      </c>
    </row>
    <row r="28" spans="1:23">
      <c r="C28" s="28" t="s">
        <v>68</v>
      </c>
      <c r="D28" s="28"/>
      <c r="E28" s="26">
        <f>E27+B2*0.4</f>
        <v>66081.845000000001</v>
      </c>
      <c r="F28" s="53">
        <f t="shared" si="5"/>
        <v>8362.1549999999988</v>
      </c>
      <c r="G28" s="53"/>
      <c r="H28" s="52">
        <f t="shared" si="6"/>
        <v>55.068521567336184</v>
      </c>
      <c r="I28" s="57" t="s">
        <v>68</v>
      </c>
      <c r="J28" s="54">
        <f>J27-40</f>
        <v>27.541356601909769</v>
      </c>
      <c r="K28" s="55">
        <f t="shared" ref="K28:U28" si="22">K27-40</f>
        <v>21.614455054329923</v>
      </c>
      <c r="L28" s="56">
        <f t="shared" si="22"/>
        <v>15.687553506750078</v>
      </c>
      <c r="M28" s="54">
        <f t="shared" si="22"/>
        <v>31.670431346723731</v>
      </c>
      <c r="N28" s="55">
        <f t="shared" si="22"/>
        <v>26.632565031280862</v>
      </c>
      <c r="O28" s="56">
        <f t="shared" si="22"/>
        <v>21.594698715837993</v>
      </c>
      <c r="P28" s="54">
        <f t="shared" si="22"/>
        <v>35.799506091537694</v>
      </c>
      <c r="Q28" s="55">
        <f t="shared" si="22"/>
        <v>31.650675008231801</v>
      </c>
      <c r="R28" s="56">
        <f t="shared" si="22"/>
        <v>27.501843924925907</v>
      </c>
      <c r="S28" s="54">
        <f t="shared" si="22"/>
        <v>39.928580836351657</v>
      </c>
      <c r="T28" s="55">
        <f t="shared" si="22"/>
        <v>36.668784985182739</v>
      </c>
      <c r="U28" s="56">
        <f t="shared" si="22"/>
        <v>33.408989134013822</v>
      </c>
    </row>
    <row r="29" spans="1:23">
      <c r="A29" s="28" t="s">
        <v>50</v>
      </c>
      <c r="B29" s="28"/>
      <c r="C29" s="26" t="s">
        <v>67</v>
      </c>
      <c r="I29" s="27" t="s">
        <v>70</v>
      </c>
      <c r="J29" s="27">
        <f>J$28/($F$34*100)</f>
        <v>6.7174040492462845</v>
      </c>
      <c r="K29" s="27">
        <f t="shared" ref="K29:U29" si="23">K$28/($F$34*100)</f>
        <v>5.2718183059341266</v>
      </c>
      <c r="L29" s="27">
        <f t="shared" si="23"/>
        <v>3.8262325626219695</v>
      </c>
      <c r="M29" s="27">
        <f t="shared" si="23"/>
        <v>7.7244954504204211</v>
      </c>
      <c r="N29" s="27">
        <f t="shared" si="23"/>
        <v>6.4957475686050872</v>
      </c>
      <c r="O29" s="27">
        <f t="shared" si="23"/>
        <v>5.2669996867897533</v>
      </c>
      <c r="P29" s="27">
        <f t="shared" si="23"/>
        <v>8.7315868515945585</v>
      </c>
      <c r="Q29" s="27">
        <f t="shared" si="23"/>
        <v>7.7196768312760478</v>
      </c>
      <c r="R29" s="27">
        <f t="shared" si="23"/>
        <v>6.7077668109575379</v>
      </c>
      <c r="S29" s="27">
        <f t="shared" si="23"/>
        <v>9.738678252768695</v>
      </c>
      <c r="T29" s="27">
        <f t="shared" si="23"/>
        <v>8.9436060939470092</v>
      </c>
      <c r="U29" s="27">
        <f t="shared" si="23"/>
        <v>8.1485339351253216</v>
      </c>
      <c r="V29" s="68" t="s">
        <v>73</v>
      </c>
      <c r="W29" s="68"/>
    </row>
    <row r="30" spans="1:23">
      <c r="A30" s="28">
        <v>74444</v>
      </c>
      <c r="B30" s="28"/>
      <c r="C30" s="26">
        <f>B2*0.2</f>
        <v>3037</v>
      </c>
      <c r="I30" s="27" t="s">
        <v>71</v>
      </c>
      <c r="J30" s="27">
        <f>J$28/($G$34*100)</f>
        <v>5.5082713203819536</v>
      </c>
      <c r="K30" s="27">
        <f t="shared" ref="K30:U30" si="24">K$28/($G$34*100)</f>
        <v>4.3228910108659848</v>
      </c>
      <c r="L30" s="27">
        <f t="shared" si="24"/>
        <v>3.1375107013500156</v>
      </c>
      <c r="M30" s="27">
        <f t="shared" si="24"/>
        <v>6.3340862693447466</v>
      </c>
      <c r="N30" s="27">
        <f t="shared" si="24"/>
        <v>5.3265130062561727</v>
      </c>
      <c r="O30" s="27">
        <f t="shared" si="24"/>
        <v>4.3189397431675989</v>
      </c>
      <c r="P30" s="24">
        <f t="shared" si="24"/>
        <v>7.1599012183075388</v>
      </c>
      <c r="Q30" s="24">
        <f t="shared" si="24"/>
        <v>6.3301350016463598</v>
      </c>
      <c r="R30" s="24">
        <f t="shared" si="24"/>
        <v>5.5003687849851817</v>
      </c>
      <c r="S30" s="24">
        <f t="shared" si="24"/>
        <v>7.985716167270331</v>
      </c>
      <c r="T30" s="24">
        <f t="shared" si="24"/>
        <v>7.3337569970365477</v>
      </c>
      <c r="U30" s="24">
        <f t="shared" si="24"/>
        <v>6.6817978268027645</v>
      </c>
      <c r="V30" s="68"/>
      <c r="W30" s="68"/>
    </row>
    <row r="31" spans="1:23">
      <c r="A31" s="20" t="s">
        <v>53</v>
      </c>
      <c r="B31" s="58"/>
      <c r="C31" s="59" t="s">
        <v>54</v>
      </c>
      <c r="D31" s="60" t="s">
        <v>55</v>
      </c>
      <c r="E31" s="61" t="s">
        <v>56</v>
      </c>
      <c r="F31" s="35" t="s">
        <v>57</v>
      </c>
      <c r="G31" s="35"/>
      <c r="H31" s="69"/>
      <c r="I31" s="27" t="s">
        <v>72</v>
      </c>
      <c r="J31" s="27">
        <f>J$28/($H$34*100)</f>
        <v>4.7485097589499592</v>
      </c>
      <c r="K31" s="27">
        <f t="shared" ref="K31:U31" si="25">K$28/($H$34*100)</f>
        <v>3.7266301817810206</v>
      </c>
      <c r="L31" s="27">
        <f t="shared" si="25"/>
        <v>2.7047506046120819</v>
      </c>
      <c r="M31" s="27">
        <f t="shared" si="25"/>
        <v>5.460419197710987</v>
      </c>
      <c r="N31" s="27">
        <f t="shared" si="25"/>
        <v>4.591821557117389</v>
      </c>
      <c r="O31" s="27">
        <f t="shared" si="25"/>
        <v>3.7232239165237915</v>
      </c>
      <c r="P31" s="27">
        <f t="shared" si="25"/>
        <v>6.1723286364720158</v>
      </c>
      <c r="Q31" s="27">
        <f t="shared" si="25"/>
        <v>5.4570129324537584</v>
      </c>
      <c r="R31" s="27">
        <f t="shared" si="25"/>
        <v>4.741697228435501</v>
      </c>
      <c r="S31" s="27">
        <f t="shared" si="25"/>
        <v>6.8842380752330437</v>
      </c>
      <c r="T31" s="27">
        <f t="shared" si="25"/>
        <v>6.3222043077901269</v>
      </c>
      <c r="U31" s="27">
        <f t="shared" si="25"/>
        <v>5.7601705403472101</v>
      </c>
      <c r="V31" s="68"/>
      <c r="W31" s="68"/>
    </row>
    <row r="32" spans="1:23">
      <c r="A32" s="20"/>
      <c r="B32" s="58"/>
      <c r="C32" s="62"/>
      <c r="D32" s="63"/>
      <c r="E32" s="64"/>
      <c r="F32" s="35"/>
      <c r="G32" s="35"/>
      <c r="H32" s="35"/>
    </row>
    <row r="33" spans="1:14">
      <c r="A33" s="65" t="s">
        <v>28</v>
      </c>
      <c r="B33" s="65"/>
      <c r="C33" s="52">
        <v>209</v>
      </c>
      <c r="D33" s="52">
        <v>254</v>
      </c>
      <c r="E33" s="52">
        <v>299</v>
      </c>
      <c r="H33" s="66"/>
    </row>
    <row r="34" spans="1:14">
      <c r="A34" s="65" t="s">
        <v>15</v>
      </c>
      <c r="B34" s="65"/>
      <c r="C34" s="27" t="str">
        <f>F34*100&amp;"%"</f>
        <v>4.1%</v>
      </c>
      <c r="D34" s="27" t="str">
        <f t="shared" ref="D34:E34" si="26">G34*100&amp;"%"</f>
        <v>5%</v>
      </c>
      <c r="E34" s="27" t="str">
        <f t="shared" si="26"/>
        <v>5.8%</v>
      </c>
      <c r="F34" s="27">
        <v>4.1000000000000002E-2</v>
      </c>
      <c r="G34" s="27">
        <v>0.05</v>
      </c>
      <c r="H34" s="27">
        <v>5.8000000000000003E-2</v>
      </c>
    </row>
    <row r="35" spans="1:14">
      <c r="A35" s="60" t="s">
        <v>59</v>
      </c>
      <c r="B35" s="60"/>
      <c r="C35" s="60"/>
      <c r="D35" s="60"/>
      <c r="E35" s="60"/>
      <c r="F35" s="60"/>
      <c r="G35" s="60"/>
      <c r="H35" s="60"/>
    </row>
    <row r="36" spans="1:14">
      <c r="A36" s="28" t="s">
        <v>60</v>
      </c>
      <c r="B36" s="28"/>
      <c r="C36" s="28"/>
      <c r="D36" s="67" t="s">
        <v>54</v>
      </c>
      <c r="E36" s="67" t="s">
        <v>55</v>
      </c>
      <c r="F36" s="67" t="s">
        <v>56</v>
      </c>
      <c r="G36" s="26" t="s">
        <v>65</v>
      </c>
      <c r="H36" s="67" t="s">
        <v>54</v>
      </c>
      <c r="I36" s="67" t="s">
        <v>55</v>
      </c>
      <c r="J36" s="67" t="s">
        <v>56</v>
      </c>
      <c r="K36" s="26" t="s">
        <v>66</v>
      </c>
      <c r="L36" s="67" t="s">
        <v>54</v>
      </c>
      <c r="M36" s="67" t="s">
        <v>55</v>
      </c>
      <c r="N36" s="67" t="s">
        <v>56</v>
      </c>
    </row>
    <row r="37" spans="1:14">
      <c r="A37" s="28"/>
      <c r="B37" s="28"/>
      <c r="C37" s="28"/>
      <c r="D37" s="27">
        <f>F34*600</f>
        <v>24.6</v>
      </c>
      <c r="E37" s="27">
        <f t="shared" ref="E37:F37" si="27">G34*600</f>
        <v>30</v>
      </c>
      <c r="F37" s="27">
        <f t="shared" si="27"/>
        <v>34.800000000000004</v>
      </c>
      <c r="H37" s="27">
        <f>F34*500</f>
        <v>20.5</v>
      </c>
      <c r="I37" s="27">
        <f t="shared" ref="I37:J37" si="28">G34*500</f>
        <v>25</v>
      </c>
      <c r="J37" s="27">
        <f t="shared" si="28"/>
        <v>29</v>
      </c>
      <c r="L37" s="27">
        <f>F34*400</f>
        <v>16.400000000000002</v>
      </c>
      <c r="M37" s="27">
        <f t="shared" ref="M37:N37" si="29">G34*400</f>
        <v>20</v>
      </c>
      <c r="N37" s="27">
        <f t="shared" si="29"/>
        <v>23.200000000000003</v>
      </c>
    </row>
    <row r="38" spans="1:14">
      <c r="C38" s="26" t="s">
        <v>61</v>
      </c>
      <c r="D38" s="27">
        <f>D37*2</f>
        <v>49.2</v>
      </c>
      <c r="E38" s="27">
        <f t="shared" ref="E38:F38" si="30">E37*2</f>
        <v>60</v>
      </c>
      <c r="F38" s="27">
        <f t="shared" si="30"/>
        <v>69.600000000000009</v>
      </c>
      <c r="H38" s="27">
        <f>H37*2</f>
        <v>41</v>
      </c>
      <c r="I38" s="27">
        <f t="shared" ref="I38" si="31">I37*2</f>
        <v>50</v>
      </c>
      <c r="J38" s="27">
        <f t="shared" ref="J38" si="32">J37*2</f>
        <v>58</v>
      </c>
      <c r="L38" s="27">
        <f>L37*2</f>
        <v>32.800000000000004</v>
      </c>
      <c r="M38" s="27">
        <f t="shared" ref="M38" si="33">M37*2</f>
        <v>40</v>
      </c>
      <c r="N38" s="27">
        <f t="shared" ref="N38" si="34">N37*2</f>
        <v>46.400000000000006</v>
      </c>
    </row>
  </sheetData>
  <mergeCells count="36">
    <mergeCell ref="C28:D28"/>
    <mergeCell ref="F28:G28"/>
    <mergeCell ref="V29:W31"/>
    <mergeCell ref="A35:H35"/>
    <mergeCell ref="A36:C37"/>
    <mergeCell ref="E31:E32"/>
    <mergeCell ref="F31:H32"/>
    <mergeCell ref="S18:U18"/>
    <mergeCell ref="P18:R18"/>
    <mergeCell ref="M18:O18"/>
    <mergeCell ref="J18:L18"/>
    <mergeCell ref="A31:B32"/>
    <mergeCell ref="A33:B33"/>
    <mergeCell ref="A34:B34"/>
    <mergeCell ref="C31:C32"/>
    <mergeCell ref="D31:D32"/>
    <mergeCell ref="F24:G24"/>
    <mergeCell ref="F25:G25"/>
    <mergeCell ref="F26:G26"/>
    <mergeCell ref="F27:G27"/>
    <mergeCell ref="A15:A16"/>
    <mergeCell ref="B19:C19"/>
    <mergeCell ref="B26:C26"/>
    <mergeCell ref="A29:B29"/>
    <mergeCell ref="A30:B30"/>
    <mergeCell ref="F19:G19"/>
    <mergeCell ref="F20:G20"/>
    <mergeCell ref="F21:G21"/>
    <mergeCell ref="F22:G22"/>
    <mergeCell ref="F23:G23"/>
    <mergeCell ref="A1:A2"/>
    <mergeCell ref="A5:A6"/>
    <mergeCell ref="E5:I5"/>
    <mergeCell ref="E6:I6"/>
    <mergeCell ref="A9:A10"/>
    <mergeCell ref="A13:A1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5</xdr:col>
                    <xdr:colOff>228600</xdr:colOff>
                    <xdr:row>0</xdr:row>
                    <xdr:rowOff>213360</xdr:rowOff>
                  </from>
                  <to>
                    <xdr:col>5</xdr:col>
                    <xdr:colOff>510540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6</xdr:col>
                    <xdr:colOff>228600</xdr:colOff>
                    <xdr:row>0</xdr:row>
                    <xdr:rowOff>213360</xdr:rowOff>
                  </from>
                  <to>
                    <xdr:col>6</xdr:col>
                    <xdr:colOff>510540</xdr:colOff>
                    <xdr:row>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297180</xdr:colOff>
                    <xdr:row>8</xdr:row>
                    <xdr:rowOff>205740</xdr:rowOff>
                  </from>
                  <to>
                    <xdr:col>1</xdr:col>
                    <xdr:colOff>579120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2</xdr:col>
                    <xdr:colOff>220980</xdr:colOff>
                    <xdr:row>8</xdr:row>
                    <xdr:rowOff>213360</xdr:rowOff>
                  </from>
                  <to>
                    <xdr:col>2</xdr:col>
                    <xdr:colOff>502920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7</xdr:col>
                    <xdr:colOff>228600</xdr:colOff>
                    <xdr:row>0</xdr:row>
                    <xdr:rowOff>213360</xdr:rowOff>
                  </from>
                  <to>
                    <xdr:col>7</xdr:col>
                    <xdr:colOff>510540</xdr:colOff>
                    <xdr:row>2</xdr:row>
                    <xdr:rowOff>30480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E468272-0638-4082-A16C-BB167BCD4908}">
          <x14:formula1>
            <xm:f>계산식!$B$25:$L$25</xm:f>
          </x14:formula1>
          <xm:sqref>C6</xm:sqref>
        </x14:dataValidation>
        <x14:dataValidation type="list" allowBlank="1" showInputMessage="1" showErrorMessage="1" xr:uid="{39ED3BAE-7611-4D4D-AE67-F2976A5F2C2F}">
          <x14:formula1>
            <xm:f>계산식!$B$23:$L$23</xm:f>
          </x14:formula1>
          <xm:sqref>B6</xm:sqref>
        </x14:dataValidation>
        <x14:dataValidation type="list" allowBlank="1" showInputMessage="1" showErrorMessage="1" xr:uid="{F30DD6CD-95CF-4C47-8126-B47496D65E42}">
          <x14:formula1>
            <xm:f>계산식!$A$27:$B$27</xm:f>
          </x14:formula1>
          <xm:sqref>I10</xm:sqref>
        </x14:dataValidation>
        <x14:dataValidation type="list" allowBlank="1" showInputMessage="1" showErrorMessage="1" xr:uid="{7FD71C78-03D6-4C60-9A06-72B07B876D6C}">
          <x14:formula1>
            <xm:f>계산식!$E$2:$E$8</xm:f>
          </x14:formula1>
          <xm:sqref>F10</xm:sqref>
        </x14:dataValidation>
        <x14:dataValidation type="list" allowBlank="1" showInputMessage="1" showErrorMessage="1" xr:uid="{FCA85502-14B9-472B-B16C-75FFA5C96BBD}">
          <x14:formula1>
            <xm:f>계산식!$D$2:$D$7</xm:f>
          </x14:formula1>
          <xm:sqref>E10</xm:sqref>
        </x14:dataValidation>
        <x14:dataValidation type="list" allowBlank="1" showInputMessage="1" showErrorMessage="1" xr:uid="{F956B0E2-0ED2-4C79-83A9-9F706EBB01C2}">
          <x14:formula1>
            <xm:f>계산식!$C$2:$C$6</xm:f>
          </x14:formula1>
          <xm:sqref>D10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계산기</vt:lpstr>
      <vt:lpstr>계산식</vt:lpstr>
      <vt:lpstr>닐루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dohum kim</dc:creator>
  <cp:lastModifiedBy>dohum kim</cp:lastModifiedBy>
  <dcterms:created xsi:type="dcterms:W3CDTF">2023-10-05T05:34:41Z</dcterms:created>
  <dcterms:modified xsi:type="dcterms:W3CDTF">2023-10-05T09:41:52Z</dcterms:modified>
</cp:coreProperties>
</file>