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OURS\COURS_DUT_informatique\COURS_Semestre_2\Projet_S2\"/>
    </mc:Choice>
  </mc:AlternateContent>
  <xr:revisionPtr revIDLastSave="0" documentId="13_ncr:1_{07E4D9A8-D9B9-4F54-92EE-8721976FC57E}" xr6:coauthVersionLast="45" xr6:coauthVersionMax="45" xr10:uidLastSave="{00000000-0000-0000-0000-000000000000}"/>
  <bookViews>
    <workbookView xWindow="-19320" yWindow="720" windowWidth="19440" windowHeight="15000" tabRatio="735" firstSheet="1" activeTab="5" xr2:uid="{00000000-000D-0000-FFFF-FFFF00000000}"/>
  </bookViews>
  <sheets>
    <sheet name="Taux horaire" sheetId="7" r:id="rId1"/>
    <sheet name="Coût de revient initial" sheetId="4" r:id="rId2"/>
    <sheet name="Prix de Vente" sheetId="10" r:id="rId3"/>
    <sheet name="Coût de revient à jour" sheetId="11" r:id="rId4"/>
    <sheet name="Evolution du coût de revient" sheetId="2" r:id="rId5"/>
    <sheet name="Résultat financer" sheetId="1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2" l="1"/>
  <c r="G5" i="12" s="1"/>
  <c r="G6" i="12" l="1"/>
  <c r="B4" i="12"/>
  <c r="B5" i="12" s="1"/>
  <c r="G7" i="12" l="1"/>
  <c r="G8" i="12" s="1"/>
  <c r="H8" i="12" s="1"/>
  <c r="B6" i="12"/>
  <c r="B7" i="12" s="1"/>
  <c r="C7" i="12" s="1"/>
  <c r="F25" i="11" l="1"/>
  <c r="G25" i="11"/>
  <c r="H25" i="11"/>
  <c r="I25" i="11"/>
  <c r="E25" i="11"/>
  <c r="M23" i="11"/>
  <c r="J6" i="11"/>
  <c r="J7" i="11"/>
  <c r="J8" i="11"/>
  <c r="J9" i="11"/>
  <c r="K9" i="11" s="1"/>
  <c r="J10" i="11"/>
  <c r="K10" i="11" s="1"/>
  <c r="J11" i="11"/>
  <c r="K11" i="11" s="1"/>
  <c r="J12" i="11"/>
  <c r="K12" i="11" s="1"/>
  <c r="J13" i="11"/>
  <c r="K13" i="11" s="1"/>
  <c r="J14" i="11"/>
  <c r="K14" i="11" s="1"/>
  <c r="J15" i="11"/>
  <c r="K15" i="11" s="1"/>
  <c r="J16" i="11"/>
  <c r="K16" i="11" s="1"/>
  <c r="J17" i="11"/>
  <c r="K17" i="11" s="1"/>
  <c r="J18" i="11"/>
  <c r="K18" i="11" s="1"/>
  <c r="J19" i="11"/>
  <c r="K19" i="11" s="1"/>
  <c r="J20" i="11"/>
  <c r="K20" i="11" s="1"/>
  <c r="J21" i="11"/>
  <c r="K21" i="11" s="1"/>
  <c r="J22" i="11"/>
  <c r="K22" i="11" s="1"/>
  <c r="J23" i="11"/>
  <c r="K23" i="11" s="1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N23" i="11" l="1"/>
  <c r="O23" i="11" s="1"/>
  <c r="P23" i="11" s="1"/>
  <c r="N22" i="11" l="1"/>
  <c r="O22" i="11" s="1"/>
  <c r="N20" i="11"/>
  <c r="O20" i="11" s="1"/>
  <c r="N17" i="11"/>
  <c r="O17" i="11" s="1"/>
  <c r="N16" i="11"/>
  <c r="O16" i="11" s="1"/>
  <c r="N15" i="11"/>
  <c r="O15" i="11" s="1"/>
  <c r="N14" i="11"/>
  <c r="O14" i="11" s="1"/>
  <c r="N13" i="11"/>
  <c r="O13" i="11" s="1"/>
  <c r="N12" i="11"/>
  <c r="O12" i="11" s="1"/>
  <c r="N9" i="11"/>
  <c r="O9" i="11" s="1"/>
  <c r="N8" i="11"/>
  <c r="O8" i="11" s="1"/>
  <c r="N7" i="11"/>
  <c r="O7" i="11" s="1"/>
  <c r="N6" i="11"/>
  <c r="L25" i="11"/>
  <c r="L25" i="4"/>
  <c r="M22" i="11"/>
  <c r="M21" i="11"/>
  <c r="M20" i="11"/>
  <c r="M19" i="11"/>
  <c r="M18" i="11"/>
  <c r="M17" i="11"/>
  <c r="M16" i="11"/>
  <c r="M15" i="11"/>
  <c r="M14" i="11"/>
  <c r="M13" i="11"/>
  <c r="M12" i="11"/>
  <c r="M11" i="11"/>
  <c r="M10" i="11"/>
  <c r="M9" i="11"/>
  <c r="M8" i="11"/>
  <c r="M7" i="11"/>
  <c r="M6" i="11"/>
  <c r="M5" i="11"/>
  <c r="J5" i="11"/>
  <c r="I25" i="4"/>
  <c r="H25" i="4"/>
  <c r="J5" i="4"/>
  <c r="J25" i="4" s="1"/>
  <c r="E6" i="7"/>
  <c r="E8" i="7" s="1"/>
  <c r="E12" i="7" s="1"/>
  <c r="N5" i="11" l="1"/>
  <c r="O5" i="11" s="1"/>
  <c r="K5" i="11"/>
  <c r="O6" i="11"/>
  <c r="P17" i="11"/>
  <c r="P9" i="11"/>
  <c r="N21" i="11"/>
  <c r="O21" i="11" s="1"/>
  <c r="P21" i="11" s="1"/>
  <c r="N19" i="11"/>
  <c r="O19" i="11" s="1"/>
  <c r="P19" i="11" s="1"/>
  <c r="P15" i="11"/>
  <c r="P13" i="11"/>
  <c r="N11" i="11"/>
  <c r="O11" i="11" s="1"/>
  <c r="P11" i="11" s="1"/>
  <c r="K7" i="11"/>
  <c r="P7" i="11" s="1"/>
  <c r="P5" i="11"/>
  <c r="Q5" i="11" s="1"/>
  <c r="K8" i="11"/>
  <c r="P8" i="11" s="1"/>
  <c r="N10" i="11"/>
  <c r="O10" i="11" s="1"/>
  <c r="P10" i="11" s="1"/>
  <c r="P16" i="11"/>
  <c r="N18" i="11"/>
  <c r="O18" i="11" s="1"/>
  <c r="P18" i="11" s="1"/>
  <c r="K6" i="11"/>
  <c r="P14" i="11"/>
  <c r="P22" i="11"/>
  <c r="P12" i="11"/>
  <c r="P20" i="11"/>
  <c r="P6" i="11" l="1"/>
  <c r="Q6" i="11" s="1"/>
  <c r="N25" i="11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N6" i="4"/>
  <c r="N7" i="4"/>
  <c r="O7" i="4" s="1"/>
  <c r="N8" i="4"/>
  <c r="O8" i="4" s="1"/>
  <c r="N9" i="4"/>
  <c r="O9" i="4" s="1"/>
  <c r="N10" i="4"/>
  <c r="O10" i="4" s="1"/>
  <c r="N11" i="4"/>
  <c r="O11" i="4" s="1"/>
  <c r="N12" i="4"/>
  <c r="O12" i="4" s="1"/>
  <c r="N13" i="4"/>
  <c r="O13" i="4" s="1"/>
  <c r="N14" i="4"/>
  <c r="O14" i="4" s="1"/>
  <c r="N15" i="4"/>
  <c r="O15" i="4" s="1"/>
  <c r="N16" i="4"/>
  <c r="O16" i="4" s="1"/>
  <c r="N17" i="4"/>
  <c r="O17" i="4" s="1"/>
  <c r="N18" i="4"/>
  <c r="O18" i="4" s="1"/>
  <c r="N19" i="4"/>
  <c r="O19" i="4" s="1"/>
  <c r="N20" i="4"/>
  <c r="O20" i="4" s="1"/>
  <c r="N21" i="4"/>
  <c r="O21" i="4" s="1"/>
  <c r="N22" i="4"/>
  <c r="O22" i="4" s="1"/>
  <c r="N23" i="4"/>
  <c r="O23" i="4" s="1"/>
  <c r="M5" i="4"/>
  <c r="N5" i="4"/>
  <c r="O5" i="4" s="1"/>
  <c r="F25" i="4"/>
  <c r="G25" i="4"/>
  <c r="E25" i="4"/>
  <c r="O6" i="4" l="1"/>
  <c r="N25" i="4"/>
  <c r="Q7" i="11"/>
  <c r="K20" i="4"/>
  <c r="P20" i="4" s="1"/>
  <c r="K22" i="4"/>
  <c r="P22" i="4" s="1"/>
  <c r="K14" i="4"/>
  <c r="P14" i="4" s="1"/>
  <c r="K6" i="4"/>
  <c r="P6" i="4" s="1"/>
  <c r="K12" i="4"/>
  <c r="P12" i="4" s="1"/>
  <c r="K16" i="4"/>
  <c r="P16" i="4" s="1"/>
  <c r="K8" i="4"/>
  <c r="P8" i="4" s="1"/>
  <c r="K18" i="4"/>
  <c r="P18" i="4" s="1"/>
  <c r="K10" i="4"/>
  <c r="P10" i="4" s="1"/>
  <c r="Q8" i="11" l="1"/>
  <c r="K5" i="4"/>
  <c r="P5" i="4" s="1"/>
  <c r="Q5" i="4" s="1"/>
  <c r="Q6" i="4" s="1"/>
  <c r="K7" i="4"/>
  <c r="P7" i="4" s="1"/>
  <c r="K15" i="4"/>
  <c r="P15" i="4" s="1"/>
  <c r="K23" i="4"/>
  <c r="P23" i="4" s="1"/>
  <c r="K17" i="4"/>
  <c r="P17" i="4" s="1"/>
  <c r="K13" i="4"/>
  <c r="P13" i="4" s="1"/>
  <c r="K21" i="4"/>
  <c r="P21" i="4" s="1"/>
  <c r="K11" i="4"/>
  <c r="P11" i="4" s="1"/>
  <c r="K19" i="4"/>
  <c r="P19" i="4" s="1"/>
  <c r="K9" i="4"/>
  <c r="P9" i="4" s="1"/>
  <c r="Q9" i="11" l="1"/>
  <c r="Q7" i="4"/>
  <c r="Q8" i="4" l="1"/>
  <c r="Q10" i="11"/>
  <c r="Q9" i="4" l="1"/>
  <c r="Q11" i="11"/>
  <c r="Q10" i="4" l="1"/>
  <c r="Q12" i="11"/>
  <c r="Q11" i="4" l="1"/>
  <c r="Q13" i="11"/>
  <c r="Q12" i="4" l="1"/>
  <c r="Q14" i="11"/>
  <c r="Q13" i="4" l="1"/>
  <c r="Q15" i="11"/>
  <c r="Q14" i="4" l="1"/>
  <c r="Q16" i="11"/>
  <c r="Q15" i="4" l="1"/>
  <c r="Q17" i="11"/>
  <c r="Q18" i="11" s="1"/>
  <c r="Q19" i="11" s="1"/>
  <c r="Q20" i="11" s="1"/>
  <c r="Q21" i="11" s="1"/>
  <c r="Q22" i="11" s="1"/>
  <c r="Q23" i="11" s="1"/>
  <c r="Q25" i="11" s="1"/>
  <c r="Q16" i="4" l="1"/>
  <c r="Q17" i="4" l="1"/>
  <c r="Q18" i="4" l="1"/>
  <c r="Q19" i="4" l="1"/>
  <c r="Q20" i="4" l="1"/>
  <c r="Q21" i="4" l="1"/>
  <c r="Q22" i="4" l="1"/>
  <c r="Q23" i="4" l="1"/>
  <c r="Q25" i="4" l="1"/>
  <c r="G3" i="10" s="1"/>
  <c r="G5" i="10" s="1"/>
  <c r="G7" i="10" s="1"/>
  <c r="G9" i="10" s="1"/>
  <c r="G11" i="10" s="1"/>
  <c r="G13" i="10" s="1"/>
</calcChain>
</file>

<file path=xl/sharedStrings.xml><?xml version="1.0" encoding="utf-8"?>
<sst xmlns="http://schemas.openxmlformats.org/spreadsheetml/2006/main" count="185" uniqueCount="116">
  <si>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</si>
  <si>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</si>
  <si>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</si>
  <si>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</si>
  <si>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</si>
  <si>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</si>
  <si>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</si>
  <si>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</si>
  <si>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</si>
  <si>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</si>
  <si>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Semaine 11</t>
  </si>
  <si>
    <t>Semaine 12</t>
  </si>
  <si>
    <t>Semaine 13</t>
  </si>
  <si>
    <t>Semaine 14</t>
  </si>
  <si>
    <t>Semaine 15</t>
  </si>
  <si>
    <t>Hypothèses</t>
  </si>
  <si>
    <t>euros</t>
  </si>
  <si>
    <t>Total hebdo</t>
  </si>
  <si>
    <t>Total cumulé</t>
  </si>
  <si>
    <t>coût Heure technicien</t>
  </si>
  <si>
    <t>Total Techn (€)</t>
  </si>
  <si>
    <t>Expert (h)</t>
  </si>
  <si>
    <t>Total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</si>
  <si>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</si>
  <si>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</si>
  <si>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</si>
  <si>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</si>
  <si>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</si>
  <si>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</si>
  <si>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</si>
  <si>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</si>
  <si>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</si>
  <si>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</si>
  <si>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</si>
  <si>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</si>
  <si>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</si>
  <si>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</si>
  <si>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</si>
  <si>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Coût Heure expert</t>
  </si>
  <si>
    <t>Coût heure machine</t>
  </si>
  <si>
    <t>Coût ordi</t>
  </si>
  <si>
    <t>Coût Expert (€)</t>
  </si>
  <si>
    <t>Total (h)</t>
  </si>
  <si>
    <t>Nb d'h ordi</t>
  </si>
  <si>
    <t>Brut mensuel</t>
  </si>
  <si>
    <t>Brut avec charges patronales</t>
  </si>
  <si>
    <t>Calcul du Taux horaire d'un technicien</t>
  </si>
  <si>
    <t>Mensuel avec coef pour FG</t>
  </si>
  <si>
    <t>Nombre d'heures facturables</t>
  </si>
  <si>
    <t>heures par mois</t>
  </si>
  <si>
    <t>Taux Horaire</t>
  </si>
  <si>
    <t>euros de l'heure</t>
  </si>
  <si>
    <t>Evolution du coût de revient du projet (en euros)</t>
  </si>
  <si>
    <t>Semaine 16</t>
  </si>
  <si>
    <t>Semaine 17</t>
  </si>
  <si>
    <t>Semaine 18</t>
  </si>
  <si>
    <t>Semaine 19</t>
  </si>
  <si>
    <t>Coût de revient initial = Coût de production</t>
  </si>
  <si>
    <t>Prise en compte d'aléas</t>
  </si>
  <si>
    <t>Coût de Prod avec aléas + FG</t>
  </si>
  <si>
    <t>Prix de Vente mini avec 10% de marge</t>
  </si>
  <si>
    <t>du 27/01  au 31/01</t>
  </si>
  <si>
    <t>du 01/06  au 05/06</t>
  </si>
  <si>
    <t>du 03/02 au 07/02</t>
  </si>
  <si>
    <t>du 10/02 au 14/02</t>
  </si>
  <si>
    <t>du 17/02 au 21/02</t>
  </si>
  <si>
    <t>du 24/02 au 28/02</t>
  </si>
  <si>
    <t>du 02/03 au 06/03</t>
  </si>
  <si>
    <t>du 09/03 au 13/03</t>
  </si>
  <si>
    <t>du 16/03 au 20/03</t>
  </si>
  <si>
    <t>du 23/03 au 27/03</t>
  </si>
  <si>
    <t>du 30/03 au 03/04</t>
  </si>
  <si>
    <t>du 06/04 au 10/04</t>
  </si>
  <si>
    <t>du 13/04 au 17/04</t>
  </si>
  <si>
    <t>du 20/04 au 24/04</t>
  </si>
  <si>
    <t>du 27/04 au 01/05</t>
  </si>
  <si>
    <t>du 04/05 au 08/05</t>
  </si>
  <si>
    <t>du 11/05 au 15/05</t>
  </si>
  <si>
    <t>du 18/05 au 22/05</t>
  </si>
  <si>
    <t>du 25/05 au 29/05</t>
  </si>
  <si>
    <t>Cyril</t>
  </si>
  <si>
    <t>Dorian</t>
  </si>
  <si>
    <t>Medhy</t>
  </si>
  <si>
    <t>Jean-Camille</t>
  </si>
  <si>
    <t>Gabriel</t>
  </si>
  <si>
    <t>Semaine de Vacances</t>
  </si>
  <si>
    <t>Semaine de partiels</t>
  </si>
  <si>
    <t>Semaine précédent les partiels</t>
  </si>
  <si>
    <t>Jalon 2; 3 et 4 (présentation oral)</t>
  </si>
  <si>
    <t>Jalon 1 et 2</t>
  </si>
  <si>
    <t>Estimation faite par: Gabriel SAPONARA</t>
  </si>
  <si>
    <t>Fait le: 07/02/2020</t>
  </si>
  <si>
    <t>Version   1</t>
  </si>
  <si>
    <t>S16</t>
  </si>
  <si>
    <t>S17</t>
  </si>
  <si>
    <t>S18</t>
  </si>
  <si>
    <t>S19</t>
  </si>
  <si>
    <t>Cout de revient à jour</t>
  </si>
  <si>
    <t>Estimation faite par: SAPONARA Gabriel</t>
  </si>
  <si>
    <t>Version  1</t>
  </si>
  <si>
    <t>Pour le groupe: 3.1</t>
  </si>
  <si>
    <t>Modifié le : 09/05/2020</t>
  </si>
  <si>
    <t>Prix de Vente proposé au client + marge (arrondi)</t>
  </si>
  <si>
    <t>Prix de Vente signé(arrondi)</t>
  </si>
  <si>
    <t>Fait le: 05/06/2020</t>
  </si>
  <si>
    <t>Prix de vente signé</t>
  </si>
  <si>
    <t>Coût de revient final</t>
  </si>
  <si>
    <t>Frais généraux 20%</t>
  </si>
  <si>
    <t>Résultat brut</t>
  </si>
  <si>
    <t>Résultat net</t>
  </si>
  <si>
    <t>Impôt sur les sociétés à 25%</t>
  </si>
  <si>
    <t>Résultat financier réel</t>
  </si>
  <si>
    <t>Coût de revient initial</t>
  </si>
  <si>
    <t>Résultat financier prévu</t>
  </si>
  <si>
    <t>&lt;- Bénéfices net après impôt en %</t>
  </si>
  <si>
    <t>Aléas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</si>
</sst>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-* #,##0\ _€_-;\-* #,##0\ _€_-;_-* &quot;-&quot;??\ _€_-;_-@_-"/>
    <numFmt numFmtId="166" formatCode="#,##0\ &quot;€&quot;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1"/>
      <color theme="1"/>
      <name val="Arial"/>
      <family val="2"/>
    </font>
    <font>
      <sz val="20"/>
      <color theme="1"/>
      <name val="Arial"/>
      <family val="2"/>
    </font>
    <font>
      <sz val="18"/>
      <color theme="1"/>
      <name val="Arial"/>
      <family val="2"/>
    </font>
    <font>
      <i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Arial"/>
      <family val="2"/>
    </font>
    <font>
      <b/>
      <sz val="11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0" xfId="0" applyFont="1" applyAlignment="1">
      <alignment horizontal="center"/>
    </xf>
    <xf numFmtId="165" fontId="2" fillId="0" borderId="0" xfId="1" applyNumberFormat="1" applyFont="1"/>
    <xf numFmtId="165" fontId="3" fillId="0" borderId="0" xfId="1" applyNumberFormat="1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/>
    <xf numFmtId="0" fontId="9" fillId="0" borderId="0" xfId="0" applyFont="1"/>
    <xf numFmtId="9" fontId="5" fillId="0" borderId="0" xfId="0" applyNumberFormat="1" applyFont="1"/>
    <xf numFmtId="3" fontId="5" fillId="0" borderId="0" xfId="0" applyNumberFormat="1" applyFont="1"/>
    <xf numFmtId="10" fontId="5" fillId="0" borderId="0" xfId="0" applyNumberFormat="1" applyFont="1"/>
    <xf numFmtId="3" fontId="5" fillId="2" borderId="0" xfId="0" applyNumberFormat="1" applyFont="1" applyFill="1"/>
    <xf numFmtId="166" fontId="9" fillId="2" borderId="0" xfId="0" applyNumberFormat="1" applyFont="1" applyFill="1" applyAlignment="1">
      <alignment horizontal="center"/>
    </xf>
    <xf numFmtId="0" fontId="2" fillId="2" borderId="1" xfId="0" applyFont="1" applyFill="1" applyBorder="1"/>
    <xf numFmtId="166" fontId="2" fillId="2" borderId="1" xfId="0" applyNumberFormat="1" applyFont="1" applyFill="1" applyBorder="1"/>
    <xf numFmtId="165" fontId="2" fillId="2" borderId="1" xfId="1" applyNumberFormat="1" applyFont="1" applyFill="1" applyBorder="1"/>
    <xf numFmtId="165" fontId="3" fillId="2" borderId="0" xfId="1" applyNumberFormat="1" applyFont="1" applyFill="1"/>
    <xf numFmtId="0" fontId="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5" fillId="0" borderId="0" xfId="0" applyFont="1" applyAlignment="1">
      <alignment horizontal="right"/>
    </xf>
    <xf numFmtId="165" fontId="5" fillId="0" borderId="0" xfId="1" applyNumberFormat="1" applyFont="1"/>
    <xf numFmtId="165" fontId="5" fillId="0" borderId="0" xfId="0" applyNumberFormat="1" applyFont="1"/>
    <xf numFmtId="165" fontId="0" fillId="0" borderId="0" xfId="1" applyNumberFormat="1" applyFont="1"/>
    <xf numFmtId="0" fontId="10" fillId="3" borderId="1" xfId="2" applyBorder="1"/>
    <xf numFmtId="0" fontId="10" fillId="3" borderId="1" xfId="2" applyBorder="1" applyAlignment="1">
      <alignment horizontal="center"/>
    </xf>
    <xf numFmtId="166" fontId="10" fillId="3" borderId="1" xfId="2" applyNumberFormat="1" applyBorder="1"/>
    <xf numFmtId="165" fontId="10" fillId="3" borderId="1" xfId="2" applyNumberFormat="1" applyBorder="1"/>
    <xf numFmtId="0" fontId="10" fillId="4" borderId="1" xfId="3" applyBorder="1"/>
    <xf numFmtId="0" fontId="10" fillId="4" borderId="1" xfId="3" applyBorder="1" applyAlignment="1">
      <alignment horizontal="center"/>
    </xf>
    <xf numFmtId="166" fontId="10" fillId="4" borderId="1" xfId="3" applyNumberFormat="1" applyBorder="1"/>
    <xf numFmtId="165" fontId="10" fillId="4" borderId="1" xfId="3" applyNumberFormat="1" applyBorder="1"/>
    <xf numFmtId="0" fontId="1" fillId="5" borderId="1" xfId="4" applyBorder="1"/>
    <xf numFmtId="0" fontId="1" fillId="5" borderId="1" xfId="4" applyBorder="1" applyAlignment="1">
      <alignment horizontal="center"/>
    </xf>
    <xf numFmtId="166" fontId="1" fillId="5" borderId="1" xfId="4" applyNumberFormat="1" applyBorder="1"/>
    <xf numFmtId="165" fontId="1" fillId="5" borderId="1" xfId="4" applyNumberFormat="1" applyBorder="1"/>
    <xf numFmtId="0" fontId="10" fillId="7" borderId="1" xfId="6" applyBorder="1"/>
    <xf numFmtId="0" fontId="10" fillId="7" borderId="1" xfId="6" applyBorder="1" applyAlignment="1">
      <alignment horizontal="center"/>
    </xf>
    <xf numFmtId="166" fontId="10" fillId="7" borderId="1" xfId="6" applyNumberFormat="1" applyBorder="1"/>
    <xf numFmtId="165" fontId="10" fillId="7" borderId="1" xfId="6" applyNumberFormat="1" applyBorder="1"/>
    <xf numFmtId="0" fontId="10" fillId="8" borderId="1" xfId="5" applyFill="1" applyBorder="1"/>
    <xf numFmtId="0" fontId="10" fillId="8" borderId="1" xfId="5" applyFill="1" applyBorder="1" applyAlignment="1">
      <alignment horizontal="center"/>
    </xf>
    <xf numFmtId="166" fontId="10" fillId="8" borderId="1" xfId="5" applyNumberFormat="1" applyFill="1" applyBorder="1"/>
    <xf numFmtId="165" fontId="10" fillId="8" borderId="1" xfId="5" applyNumberFormat="1" applyFill="1" applyBorder="1"/>
    <xf numFmtId="166" fontId="9" fillId="2" borderId="0" xfId="0" applyNumberFormat="1" applyFont="1" applyFill="1"/>
    <xf numFmtId="0" fontId="4" fillId="0" borderId="1" xfId="0" applyFont="1" applyBorder="1"/>
    <xf numFmtId="0" fontId="4" fillId="0" borderId="0" xfId="0" applyFont="1" applyAlignment="1"/>
    <xf numFmtId="0" fontId="12" fillId="9" borderId="1" xfId="6" applyFont="1" applyFill="1" applyBorder="1"/>
    <xf numFmtId="0" fontId="12" fillId="9" borderId="1" xfId="6" applyFont="1" applyFill="1" applyBorder="1" applyAlignment="1">
      <alignment horizontal="center"/>
    </xf>
    <xf numFmtId="0" fontId="2" fillId="0" borderId="0" xfId="0" applyFont="1" applyBorder="1"/>
    <xf numFmtId="165" fontId="3" fillId="0" borderId="0" xfId="1" applyNumberFormat="1" applyFont="1" applyBorder="1" applyAlignment="1">
      <alignment horizontal="right"/>
    </xf>
    <xf numFmtId="165" fontId="3" fillId="2" borderId="0" xfId="1" applyNumberFormat="1" applyFont="1" applyFill="1" applyBorder="1"/>
    <xf numFmtId="0" fontId="13" fillId="10" borderId="1" xfId="0" applyFont="1" applyFill="1" applyBorder="1"/>
    <xf numFmtId="165" fontId="13" fillId="10" borderId="1" xfId="1" applyNumberFormat="1" applyFont="1" applyFill="1" applyBorder="1"/>
    <xf numFmtId="2" fontId="5" fillId="2" borderId="0" xfId="0" applyNumberFormat="1" applyFont="1" applyFill="1"/>
    <xf numFmtId="0" fontId="14" fillId="10" borderId="1" xfId="0" applyFont="1" applyFill="1" applyBorder="1" applyAlignment="1">
      <alignment horizontal="center"/>
    </xf>
    <xf numFmtId="166" fontId="13" fillId="10" borderId="1" xfId="0" applyNumberFormat="1" applyFont="1" applyFill="1" applyBorder="1"/>
    <xf numFmtId="166" fontId="12" fillId="2" borderId="1" xfId="6" applyNumberFormat="1" applyFont="1" applyFill="1" applyBorder="1"/>
    <xf numFmtId="165" fontId="12" fillId="2" borderId="1" xfId="6" applyNumberFormat="1" applyFont="1" applyFill="1" applyBorder="1"/>
    <xf numFmtId="1" fontId="0" fillId="0" borderId="0" xfId="0" applyNumberFormat="1"/>
    <xf numFmtId="0" fontId="9" fillId="0" borderId="0" xfId="0" applyFont="1" applyAlignment="1">
      <alignment horizontal="center"/>
    </xf>
    <xf numFmtId="0" fontId="10" fillId="3" borderId="0" xfId="2" applyAlignment="1">
      <alignment horizontal="center"/>
    </xf>
    <xf numFmtId="0" fontId="10" fillId="4" borderId="0" xfId="3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5" borderId="0" xfId="4" applyAlignment="1">
      <alignment horizontal="center"/>
    </xf>
    <xf numFmtId="0" fontId="10" fillId="7" borderId="0" xfId="6" applyAlignment="1">
      <alignment horizontal="center"/>
    </xf>
    <xf numFmtId="0" fontId="10" fillId="8" borderId="0" xfId="5" applyFill="1" applyAlignment="1">
      <alignment horizontal="center"/>
    </xf>
    <xf numFmtId="166" fontId="9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7">
    <cellStyle name="60 % - Accent2" xfId="4" builtinId="36"/>
    <cellStyle name="Accent1" xfId="2" builtinId="29"/>
    <cellStyle name="Accent2" xfId="3" builtinId="33"/>
    <cellStyle name="Accent3" xfId="5" builtinId="37"/>
    <cellStyle name="Accent6" xfId="6" builtinId="49"/>
    <cellStyle name="Milliers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Evolution hebdo du coût de revient à jour en euros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Coût de revient à jour</c:v>
          </c:tx>
          <c:xVal>
            <c:strRef>
              <c:f>'Evolution du coût de revient'!$B$5:$T$5</c:f>
              <c:strCache>
                <c:ptCount val="19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  <c:pt idx="4">
                  <c:v>S5</c:v>
                </c:pt>
                <c:pt idx="5">
                  <c:v>S6</c:v>
                </c:pt>
                <c:pt idx="6">
                  <c:v>S7</c:v>
                </c:pt>
                <c:pt idx="7">
                  <c:v>S8</c:v>
                </c:pt>
                <c:pt idx="8">
                  <c:v>S9</c:v>
                </c:pt>
                <c:pt idx="9">
                  <c:v>S10</c:v>
                </c:pt>
                <c:pt idx="10">
                  <c:v>S11</c:v>
                </c:pt>
                <c:pt idx="11">
                  <c:v>S12</c:v>
                </c:pt>
                <c:pt idx="12">
                  <c:v>S13</c:v>
                </c:pt>
                <c:pt idx="13">
                  <c:v>S14</c:v>
                </c:pt>
                <c:pt idx="14">
                  <c:v>S15</c:v>
                </c:pt>
                <c:pt idx="15">
                  <c:v>S16</c:v>
                </c:pt>
                <c:pt idx="16">
                  <c:v>S17</c:v>
                </c:pt>
                <c:pt idx="17">
                  <c:v>S18</c:v>
                </c:pt>
                <c:pt idx="18">
                  <c:v>S19</c:v>
                </c:pt>
              </c:strCache>
            </c:strRef>
          </c:xVal>
          <c:yVal>
            <c:numRef>
              <c:f>'Evolution du coût de revient'!$B$6:$T$6</c:f>
              <c:numCache>
                <c:formatCode>General</c:formatCode>
                <c:ptCount val="19"/>
                <c:pt idx="0">
                  <c:v>30350</c:v>
                </c:pt>
                <c:pt idx="1">
                  <c:v>24700</c:v>
                </c:pt>
                <c:pt idx="2">
                  <c:v>26350</c:v>
                </c:pt>
                <c:pt idx="3">
                  <c:v>27175</c:v>
                </c:pt>
                <c:pt idx="4">
                  <c:v>26625</c:v>
                </c:pt>
                <c:pt idx="5">
                  <c:v>27000</c:v>
                </c:pt>
                <c:pt idx="6">
                  <c:v>27000</c:v>
                </c:pt>
                <c:pt idx="7">
                  <c:v>26725</c:v>
                </c:pt>
                <c:pt idx="8">
                  <c:v>26400</c:v>
                </c:pt>
                <c:pt idx="9">
                  <c:v>26350</c:v>
                </c:pt>
                <c:pt idx="10">
                  <c:v>26800</c:v>
                </c:pt>
                <c:pt idx="11">
                  <c:v>26475</c:v>
                </c:pt>
                <c:pt idx="12">
                  <c:v>24650</c:v>
                </c:pt>
                <c:pt idx="13">
                  <c:v>24535</c:v>
                </c:pt>
                <c:pt idx="14">
                  <c:v>25715</c:v>
                </c:pt>
                <c:pt idx="15">
                  <c:v>26270</c:v>
                </c:pt>
                <c:pt idx="16">
                  <c:v>25885</c:v>
                </c:pt>
                <c:pt idx="17">
                  <c:v>25045</c:v>
                </c:pt>
                <c:pt idx="18">
                  <c:v>24295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82-4006-8E80-2AA4D5AE3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469776"/>
        <c:axId val="388463112"/>
      </c:scatterChart>
      <c:valAx>
        <c:axId val="388469776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Numéro</a:t>
                </a:r>
                <a:r>
                  <a:rPr lang="fr-FR" baseline="0"/>
                  <a:t> de semaine</a:t>
                </a:r>
                <a:endParaRPr lang="fr-FR"/>
              </a:p>
            </c:rich>
          </c:tx>
          <c:overlay val="0"/>
        </c:title>
        <c:majorTickMark val="out"/>
        <c:minorTickMark val="none"/>
        <c:tickLblPos val="nextTo"/>
        <c:crossAx val="388463112"/>
        <c:crosses val="autoZero"/>
        <c:crossBetween val="midCat"/>
      </c:valAx>
      <c:valAx>
        <c:axId val="3884631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Coût de revient à jour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84697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41911</xdr:colOff>
      <xdr:row>6</xdr:row>
      <xdr:rowOff>95249</xdr:rowOff>
    </xdr:from>
    <xdr:to>
      <xdr:col>15</xdr:col>
      <xdr:colOff>542925</xdr:colOff>
      <xdr:row>18</xdr:row>
      <xdr:rowOff>47624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workbookViewId="0">
      <selection activeCell="E12" sqref="E12"/>
    </sheetView>
  </sheetViews>
  <sheetFormatPr baseColWidth="10" defaultRowHeight="14.4" x14ac:dyDescent="0.3"/>
  <cols>
    <col min="1" max="1" width="4.5546875" customWidth="1"/>
    <col min="4" max="4" width="14" customWidth="1"/>
    <col min="5" max="5" width="13.44140625" customWidth="1"/>
    <col min="7" max="7" width="9.88671875" customWidth="1"/>
  </cols>
  <sheetData>
    <row r="1" spans="1:8" ht="17.399999999999999" x14ac:dyDescent="0.3">
      <c r="A1" s="7"/>
      <c r="B1" s="7"/>
      <c r="C1" s="7"/>
      <c r="D1" s="7"/>
      <c r="E1" s="7"/>
      <c r="F1" s="7"/>
      <c r="G1" s="7"/>
      <c r="H1" s="7"/>
    </row>
    <row r="2" spans="1:8" ht="22.8" x14ac:dyDescent="0.4">
      <c r="A2" s="7"/>
      <c r="B2" s="13" t="s">
        <v>46</v>
      </c>
      <c r="C2" s="7"/>
      <c r="D2" s="7"/>
      <c r="E2" s="7"/>
      <c r="F2" s="7"/>
      <c r="G2" s="7"/>
      <c r="H2" s="7"/>
    </row>
    <row r="3" spans="1:8" ht="17.399999999999999" x14ac:dyDescent="0.3">
      <c r="A3" s="7"/>
      <c r="B3" s="7"/>
      <c r="C3" s="7"/>
      <c r="D3" s="7"/>
      <c r="E3" s="7"/>
      <c r="F3" s="7"/>
      <c r="G3" s="7"/>
      <c r="H3" s="7"/>
    </row>
    <row r="4" spans="1:8" ht="17.399999999999999" x14ac:dyDescent="0.3">
      <c r="A4" s="7"/>
      <c r="B4" s="7" t="s">
        <v>44</v>
      </c>
      <c r="C4" s="7"/>
      <c r="D4" s="7"/>
      <c r="E4" s="16">
        <v>3000</v>
      </c>
      <c r="F4" s="7" t="s">
        <v>16</v>
      </c>
      <c r="G4" s="7"/>
      <c r="H4" s="7"/>
    </row>
    <row r="5" spans="1:8" ht="17.399999999999999" x14ac:dyDescent="0.3">
      <c r="A5" s="7"/>
      <c r="B5" s="7"/>
      <c r="C5" s="7"/>
      <c r="D5" s="7"/>
      <c r="E5" s="7"/>
      <c r="F5" s="7"/>
      <c r="G5" s="7"/>
      <c r="H5" s="7"/>
    </row>
    <row r="6" spans="1:8" ht="17.399999999999999" x14ac:dyDescent="0.3">
      <c r="A6" s="7"/>
      <c r="B6" s="7" t="s">
        <v>45</v>
      </c>
      <c r="C6" s="7"/>
      <c r="D6" s="7"/>
      <c r="E6" s="18">
        <f>E4*(1+H6)</f>
        <v>4500</v>
      </c>
      <c r="F6" s="7" t="s">
        <v>16</v>
      </c>
      <c r="G6" s="7"/>
      <c r="H6" s="15">
        <v>0.5</v>
      </c>
    </row>
    <row r="7" spans="1:8" ht="17.399999999999999" x14ac:dyDescent="0.3">
      <c r="A7" s="7"/>
      <c r="B7" s="7"/>
      <c r="C7" s="7"/>
      <c r="D7" s="7"/>
      <c r="E7" s="7"/>
      <c r="F7" s="7"/>
      <c r="G7" s="7"/>
      <c r="H7" s="7"/>
    </row>
    <row r="8" spans="1:8" ht="17.399999999999999" x14ac:dyDescent="0.3">
      <c r="A8" s="7"/>
      <c r="B8" s="7" t="s">
        <v>47</v>
      </c>
      <c r="C8" s="7"/>
      <c r="D8" s="7"/>
      <c r="E8" s="18">
        <f>E6*(1+H8)</f>
        <v>6000</v>
      </c>
      <c r="F8" s="7"/>
      <c r="G8" s="7"/>
      <c r="H8" s="17">
        <v>0.33333333333333331</v>
      </c>
    </row>
    <row r="9" spans="1:8" ht="17.399999999999999" x14ac:dyDescent="0.3">
      <c r="A9" s="7"/>
      <c r="B9" s="7"/>
      <c r="C9" s="7"/>
      <c r="D9" s="7"/>
      <c r="E9" s="7"/>
      <c r="F9" s="7"/>
      <c r="G9" s="7"/>
      <c r="H9" s="7"/>
    </row>
    <row r="10" spans="1:8" ht="17.399999999999999" x14ac:dyDescent="0.3">
      <c r="A10" s="7"/>
      <c r="B10" s="7" t="s">
        <v>48</v>
      </c>
      <c r="C10" s="7"/>
      <c r="D10" s="7"/>
      <c r="E10" s="7">
        <v>120</v>
      </c>
      <c r="F10" s="7" t="s">
        <v>49</v>
      </c>
      <c r="G10" s="7"/>
      <c r="H10" s="7"/>
    </row>
    <row r="11" spans="1:8" ht="17.399999999999999" x14ac:dyDescent="0.3">
      <c r="A11" s="7"/>
      <c r="B11" s="7"/>
      <c r="C11" s="7"/>
      <c r="D11" s="7"/>
      <c r="E11" s="7"/>
      <c r="F11" s="7"/>
      <c r="G11" s="7"/>
      <c r="H11" s="7"/>
    </row>
    <row r="12" spans="1:8" ht="17.399999999999999" x14ac:dyDescent="0.3">
      <c r="A12" s="7"/>
      <c r="B12" s="7" t="s">
        <v>50</v>
      </c>
      <c r="C12" s="7"/>
      <c r="D12" s="7"/>
      <c r="E12" s="61">
        <f>E8/E10</f>
        <v>50</v>
      </c>
      <c r="F12" s="7" t="s">
        <v>51</v>
      </c>
      <c r="G12" s="7"/>
      <c r="H12" s="7"/>
    </row>
    <row r="13" spans="1:8" ht="17.399999999999999" x14ac:dyDescent="0.3">
      <c r="A13" s="7"/>
      <c r="B13" s="7"/>
      <c r="C13" s="7"/>
      <c r="D13" s="7"/>
      <c r="E13" s="7"/>
      <c r="F13" s="7"/>
      <c r="G13" s="7"/>
      <c r="H13" s="7"/>
    </row>
    <row r="14" spans="1:8" ht="17.399999999999999" x14ac:dyDescent="0.3">
      <c r="A14" s="7"/>
      <c r="B14" s="7"/>
      <c r="C14" s="7"/>
      <c r="D14" s="7"/>
      <c r="E14" s="7"/>
      <c r="F14" s="7"/>
      <c r="G14" s="7"/>
      <c r="H14" s="7"/>
    </row>
    <row r="15" spans="1:8" ht="17.399999999999999" x14ac:dyDescent="0.3">
      <c r="A15" s="7"/>
      <c r="B15" s="7"/>
      <c r="C15" s="7"/>
      <c r="D15" s="7"/>
      <c r="E15" s="7"/>
      <c r="F15" s="7"/>
      <c r="G15" s="7"/>
      <c r="H15" s="7"/>
    </row>
    <row r="16" spans="1:8" ht="17.399999999999999" x14ac:dyDescent="0.3">
      <c r="A16" s="7"/>
      <c r="B16" s="7"/>
      <c r="C16" s="7"/>
      <c r="D16" s="7"/>
      <c r="E16" s="7"/>
      <c r="F16" s="7"/>
      <c r="G16" s="7"/>
      <c r="H16" s="7"/>
    </row>
    <row r="17" spans="1:8" ht="17.399999999999999" x14ac:dyDescent="0.3">
      <c r="A17" s="7"/>
      <c r="B17" s="7"/>
      <c r="C17" s="7"/>
      <c r="D17" s="7"/>
      <c r="E17" s="7"/>
      <c r="F17" s="7"/>
      <c r="G17" s="7"/>
      <c r="H17" s="7"/>
    </row>
    <row r="18" spans="1:8" ht="17.399999999999999" x14ac:dyDescent="0.3">
      <c r="A18" s="7"/>
      <c r="B18" s="7"/>
      <c r="C18" s="7"/>
      <c r="D18" s="7"/>
      <c r="E18" s="7"/>
      <c r="F18" s="7"/>
      <c r="G18" s="7"/>
      <c r="H18" s="7"/>
    </row>
    <row r="19" spans="1:8" ht="17.399999999999999" x14ac:dyDescent="0.3">
      <c r="A19" s="7"/>
      <c r="B19" s="7"/>
      <c r="C19" s="7"/>
      <c r="D19" s="7"/>
      <c r="E19" s="7"/>
      <c r="F19" s="7"/>
      <c r="G19" s="7"/>
      <c r="H19" s="7"/>
    </row>
    <row r="20" spans="1:8" ht="17.399999999999999" x14ac:dyDescent="0.3">
      <c r="A20" s="7"/>
      <c r="B20" s="7"/>
      <c r="C20" s="7"/>
      <c r="D20" s="7"/>
      <c r="E20" s="7"/>
      <c r="F20" s="7"/>
      <c r="G20" s="7"/>
      <c r="H20" s="7"/>
    </row>
    <row r="21" spans="1:8" ht="17.399999999999999" x14ac:dyDescent="0.3">
      <c r="A21" s="7"/>
      <c r="B21" s="7"/>
      <c r="C21" s="7"/>
      <c r="D21" s="7"/>
      <c r="E21" s="7"/>
      <c r="F21" s="7"/>
      <c r="G21" s="7"/>
      <c r="H21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T30"/>
  <sheetViews>
    <sheetView zoomScale="90" zoomScaleNormal="90" workbookViewId="0">
      <selection activeCell="N31" sqref="N31"/>
    </sheetView>
  </sheetViews>
  <sheetFormatPr baseColWidth="10" defaultColWidth="11.44140625" defaultRowHeight="13.8" x14ac:dyDescent="0.25"/>
  <cols>
    <col min="1" max="2" width="1" style="1" customWidth="1"/>
    <col min="3" max="3" width="13.5546875" style="1" customWidth="1"/>
    <col min="4" max="4" width="18.6640625" style="3" customWidth="1"/>
    <col min="5" max="5" width="10.88671875" style="1" customWidth="1"/>
    <col min="6" max="6" width="13" style="1" customWidth="1"/>
    <col min="7" max="7" width="8.5546875" style="1" customWidth="1"/>
    <col min="8" max="8" width="13.33203125" style="1" customWidth="1"/>
    <col min="9" max="9" width="12.6640625" style="1" customWidth="1"/>
    <col min="10" max="10" width="9.88671875" style="1" customWidth="1"/>
    <col min="11" max="11" width="14.88671875" style="1" customWidth="1"/>
    <col min="12" max="12" width="10.6640625" style="1" customWidth="1"/>
    <col min="13" max="13" width="9.5546875" style="1" customWidth="1"/>
    <col min="14" max="14" width="11.44140625" style="1" customWidth="1"/>
    <col min="15" max="15" width="13.44140625" style="1" customWidth="1"/>
    <col min="16" max="17" width="11.44140625" style="1"/>
    <col min="18" max="18" width="6.88671875" style="1" customWidth="1"/>
    <col min="19" max="19" width="14.33203125" style="1" customWidth="1"/>
    <col min="20" max="20" width="17.109375" style="1" customWidth="1"/>
    <col min="21" max="16384" width="11.44140625" style="1"/>
  </cols>
  <sheetData>
    <row r="2" spans="3:20" s="14" customFormat="1" ht="15.6" x14ac:dyDescent="0.3">
      <c r="C2" s="14" t="s">
        <v>15</v>
      </c>
      <c r="D2" s="24"/>
      <c r="E2" s="67" t="s">
        <v>19</v>
      </c>
      <c r="F2" s="67"/>
      <c r="G2" s="19">
        <v>50</v>
      </c>
      <c r="H2" s="67" t="s">
        <v>38</v>
      </c>
      <c r="I2" s="67"/>
      <c r="J2" s="19">
        <v>100</v>
      </c>
      <c r="K2" s="75" t="s">
        <v>39</v>
      </c>
      <c r="L2" s="75"/>
      <c r="M2" s="51">
        <v>10</v>
      </c>
    </row>
    <row r="4" spans="3:20" x14ac:dyDescent="0.25">
      <c r="C4" s="2"/>
      <c r="D4" s="25"/>
      <c r="E4" s="2" t="s">
        <v>80</v>
      </c>
      <c r="F4" s="2" t="s">
        <v>81</v>
      </c>
      <c r="G4" s="2" t="s">
        <v>82</v>
      </c>
      <c r="H4" s="1" t="s">
        <v>83</v>
      </c>
      <c r="I4" s="1" t="s">
        <v>84</v>
      </c>
      <c r="J4" s="2" t="s">
        <v>42</v>
      </c>
      <c r="K4" s="2" t="s">
        <v>20</v>
      </c>
      <c r="L4" s="2" t="s">
        <v>21</v>
      </c>
      <c r="M4" s="2" t="s">
        <v>41</v>
      </c>
      <c r="N4" s="2" t="s">
        <v>43</v>
      </c>
      <c r="O4" s="2" t="s">
        <v>40</v>
      </c>
      <c r="P4" s="2" t="s">
        <v>17</v>
      </c>
      <c r="Q4" s="2" t="s">
        <v>18</v>
      </c>
    </row>
    <row r="5" spans="3:20" ht="14.4" x14ac:dyDescent="0.3">
      <c r="C5" s="2" t="s">
        <v>0</v>
      </c>
      <c r="D5" s="26" t="s">
        <v>61</v>
      </c>
      <c r="E5" s="2">
        <v>5</v>
      </c>
      <c r="F5" s="2">
        <v>5</v>
      </c>
      <c r="G5" s="2">
        <v>5</v>
      </c>
      <c r="H5" s="2">
        <v>5</v>
      </c>
      <c r="I5" s="2">
        <v>5</v>
      </c>
      <c r="J5" s="20">
        <f>SUM(E5:I5)</f>
        <v>25</v>
      </c>
      <c r="K5" s="21">
        <f>+J5*$G$2</f>
        <v>1250</v>
      </c>
      <c r="L5" s="2">
        <v>5</v>
      </c>
      <c r="M5" s="21">
        <f>+L5*$J$2</f>
        <v>500</v>
      </c>
      <c r="N5" s="2">
        <f>+J5/2</f>
        <v>12.5</v>
      </c>
      <c r="O5" s="21">
        <f>+N5*$M$2</f>
        <v>125</v>
      </c>
      <c r="P5" s="22">
        <f>+O5+M5+K5</f>
        <v>1875</v>
      </c>
      <c r="Q5" s="22">
        <f>+P5</f>
        <v>1875</v>
      </c>
      <c r="S5" s="68" t="s">
        <v>85</v>
      </c>
      <c r="T5" s="68"/>
    </row>
    <row r="6" spans="3:20" ht="14.4" x14ac:dyDescent="0.3">
      <c r="C6" s="47" t="s">
        <v>1</v>
      </c>
      <c r="D6" s="48" t="s">
        <v>63</v>
      </c>
      <c r="E6" s="47">
        <v>5</v>
      </c>
      <c r="F6" s="47">
        <v>5</v>
      </c>
      <c r="G6" s="47">
        <v>5</v>
      </c>
      <c r="H6" s="47">
        <v>5</v>
      </c>
      <c r="I6" s="47">
        <v>5</v>
      </c>
      <c r="J6" s="20">
        <f t="shared" ref="J6:J23" si="0">SUM(E6:I6)</f>
        <v>25</v>
      </c>
      <c r="K6" s="49">
        <f t="shared" ref="K6:K23" si="1">+J6*$G$2</f>
        <v>1250</v>
      </c>
      <c r="L6" s="47">
        <v>3</v>
      </c>
      <c r="M6" s="49">
        <f t="shared" ref="M6:M23" si="2">+L6*$J$2</f>
        <v>300</v>
      </c>
      <c r="N6" s="47">
        <f t="shared" ref="N6:N23" si="3">+J6/2</f>
        <v>12.5</v>
      </c>
      <c r="O6" s="49">
        <f>+N6*$M$2</f>
        <v>125</v>
      </c>
      <c r="P6" s="50">
        <f>+O6+M6+K6</f>
        <v>1675</v>
      </c>
      <c r="Q6" s="50">
        <f>+Q5+P6</f>
        <v>3550</v>
      </c>
    </row>
    <row r="7" spans="3:20" ht="14.4" x14ac:dyDescent="0.3">
      <c r="C7" s="2" t="s">
        <v>2</v>
      </c>
      <c r="D7" s="26" t="s">
        <v>64</v>
      </c>
      <c r="E7" s="2">
        <v>7</v>
      </c>
      <c r="F7" s="2">
        <v>7</v>
      </c>
      <c r="G7" s="2">
        <v>7</v>
      </c>
      <c r="H7" s="2">
        <v>7</v>
      </c>
      <c r="I7" s="2">
        <v>7</v>
      </c>
      <c r="J7" s="20">
        <f t="shared" si="0"/>
        <v>35</v>
      </c>
      <c r="K7" s="21">
        <f t="shared" si="1"/>
        <v>1750</v>
      </c>
      <c r="L7" s="2">
        <v>3</v>
      </c>
      <c r="M7" s="21">
        <f t="shared" si="2"/>
        <v>300</v>
      </c>
      <c r="N7" s="2">
        <f t="shared" si="3"/>
        <v>17.5</v>
      </c>
      <c r="O7" s="21">
        <f t="shared" ref="O7:O23" si="4">+N7*$M$2</f>
        <v>175</v>
      </c>
      <c r="P7" s="22">
        <f t="shared" ref="P7:P23" si="5">+O7+M7+K7</f>
        <v>2225</v>
      </c>
      <c r="Q7" s="22">
        <f t="shared" ref="Q7:Q23" si="6">+Q6+P7</f>
        <v>5775</v>
      </c>
      <c r="S7" s="69" t="s">
        <v>86</v>
      </c>
      <c r="T7" s="69"/>
    </row>
    <row r="8" spans="3:20" ht="14.4" x14ac:dyDescent="0.3">
      <c r="C8" s="47" t="s">
        <v>3</v>
      </c>
      <c r="D8" s="48" t="s">
        <v>65</v>
      </c>
      <c r="E8" s="47">
        <v>7</v>
      </c>
      <c r="F8" s="47">
        <v>7</v>
      </c>
      <c r="G8" s="47">
        <v>7</v>
      </c>
      <c r="H8" s="47">
        <v>7</v>
      </c>
      <c r="I8" s="47">
        <v>7</v>
      </c>
      <c r="J8" s="20">
        <f t="shared" si="0"/>
        <v>35</v>
      </c>
      <c r="K8" s="49">
        <f t="shared" si="1"/>
        <v>1750</v>
      </c>
      <c r="L8" s="47">
        <v>5</v>
      </c>
      <c r="M8" s="49">
        <f t="shared" si="2"/>
        <v>500</v>
      </c>
      <c r="N8" s="47">
        <f t="shared" si="3"/>
        <v>17.5</v>
      </c>
      <c r="O8" s="49">
        <f t="shared" si="4"/>
        <v>175</v>
      </c>
      <c r="P8" s="50">
        <f t="shared" si="5"/>
        <v>2425</v>
      </c>
      <c r="Q8" s="50">
        <f t="shared" si="6"/>
        <v>8200</v>
      </c>
    </row>
    <row r="9" spans="3:20" ht="14.4" x14ac:dyDescent="0.3">
      <c r="C9" s="31" t="s">
        <v>4</v>
      </c>
      <c r="D9" s="32" t="s">
        <v>66</v>
      </c>
      <c r="E9" s="31">
        <v>3</v>
      </c>
      <c r="F9" s="31">
        <v>3</v>
      </c>
      <c r="G9" s="31">
        <v>3</v>
      </c>
      <c r="H9" s="31">
        <v>3</v>
      </c>
      <c r="I9" s="31">
        <v>3</v>
      </c>
      <c r="J9" s="20">
        <f t="shared" si="0"/>
        <v>15</v>
      </c>
      <c r="K9" s="33">
        <f t="shared" si="1"/>
        <v>750</v>
      </c>
      <c r="L9" s="31">
        <v>0</v>
      </c>
      <c r="M9" s="33">
        <f t="shared" si="2"/>
        <v>0</v>
      </c>
      <c r="N9" s="31">
        <f t="shared" si="3"/>
        <v>7.5</v>
      </c>
      <c r="O9" s="33">
        <f t="shared" si="4"/>
        <v>75</v>
      </c>
      <c r="P9" s="34">
        <f t="shared" si="5"/>
        <v>825</v>
      </c>
      <c r="Q9" s="34">
        <f t="shared" si="6"/>
        <v>9025</v>
      </c>
      <c r="S9" s="72" t="s">
        <v>87</v>
      </c>
      <c r="T9" s="72"/>
    </row>
    <row r="10" spans="3:20" x14ac:dyDescent="0.25">
      <c r="C10" s="2" t="s">
        <v>5</v>
      </c>
      <c r="D10" s="26" t="s">
        <v>67</v>
      </c>
      <c r="E10" s="2">
        <v>7</v>
      </c>
      <c r="F10" s="2">
        <v>7</v>
      </c>
      <c r="G10" s="2">
        <v>7</v>
      </c>
      <c r="H10" s="2">
        <v>7</v>
      </c>
      <c r="I10" s="2">
        <v>7</v>
      </c>
      <c r="J10" s="20">
        <f t="shared" si="0"/>
        <v>35</v>
      </c>
      <c r="K10" s="21">
        <f t="shared" si="1"/>
        <v>1750</v>
      </c>
      <c r="L10" s="2">
        <v>3</v>
      </c>
      <c r="M10" s="21">
        <f t="shared" si="2"/>
        <v>300</v>
      </c>
      <c r="N10" s="2">
        <f t="shared" si="3"/>
        <v>17.5</v>
      </c>
      <c r="O10" s="21">
        <f t="shared" si="4"/>
        <v>175</v>
      </c>
      <c r="P10" s="22">
        <f t="shared" si="5"/>
        <v>2225</v>
      </c>
      <c r="Q10" s="22">
        <f t="shared" si="6"/>
        <v>11250</v>
      </c>
    </row>
    <row r="11" spans="3:20" ht="14.4" x14ac:dyDescent="0.3">
      <c r="C11" s="2" t="s">
        <v>6</v>
      </c>
      <c r="D11" s="26" t="s">
        <v>68</v>
      </c>
      <c r="E11" s="2">
        <v>6</v>
      </c>
      <c r="F11" s="2">
        <v>6</v>
      </c>
      <c r="G11" s="2">
        <v>6</v>
      </c>
      <c r="H11" s="2">
        <v>6</v>
      </c>
      <c r="I11" s="2">
        <v>6</v>
      </c>
      <c r="J11" s="20">
        <f t="shared" si="0"/>
        <v>30</v>
      </c>
      <c r="K11" s="21">
        <f t="shared" si="1"/>
        <v>1500</v>
      </c>
      <c r="L11" s="2">
        <v>5</v>
      </c>
      <c r="M11" s="21">
        <f t="shared" si="2"/>
        <v>500</v>
      </c>
      <c r="N11" s="2">
        <f t="shared" si="3"/>
        <v>15</v>
      </c>
      <c r="O11" s="21">
        <f t="shared" si="4"/>
        <v>150</v>
      </c>
      <c r="P11" s="22">
        <f t="shared" si="5"/>
        <v>2150</v>
      </c>
      <c r="Q11" s="22">
        <f t="shared" si="6"/>
        <v>13400</v>
      </c>
      <c r="S11" s="73" t="s">
        <v>88</v>
      </c>
      <c r="T11" s="73"/>
    </row>
    <row r="12" spans="3:20" x14ac:dyDescent="0.25">
      <c r="C12" s="2" t="s">
        <v>7</v>
      </c>
      <c r="D12" s="26" t="s">
        <v>69</v>
      </c>
      <c r="E12" s="2">
        <v>5</v>
      </c>
      <c r="F12" s="2">
        <v>5</v>
      </c>
      <c r="G12" s="2">
        <v>5</v>
      </c>
      <c r="H12" s="2">
        <v>5</v>
      </c>
      <c r="I12" s="2">
        <v>5</v>
      </c>
      <c r="J12" s="20">
        <f t="shared" si="0"/>
        <v>25</v>
      </c>
      <c r="K12" s="21">
        <f t="shared" si="1"/>
        <v>1250</v>
      </c>
      <c r="L12" s="2">
        <v>3</v>
      </c>
      <c r="M12" s="21">
        <f t="shared" si="2"/>
        <v>300</v>
      </c>
      <c r="N12" s="2">
        <f t="shared" si="3"/>
        <v>12.5</v>
      </c>
      <c r="O12" s="21">
        <f t="shared" si="4"/>
        <v>125</v>
      </c>
      <c r="P12" s="22">
        <f t="shared" si="5"/>
        <v>1675</v>
      </c>
      <c r="Q12" s="22">
        <f t="shared" si="6"/>
        <v>15075</v>
      </c>
    </row>
    <row r="13" spans="3:20" ht="14.4" x14ac:dyDescent="0.3">
      <c r="C13" s="2" t="s">
        <v>8</v>
      </c>
      <c r="D13" s="26" t="s">
        <v>70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20">
        <f t="shared" si="0"/>
        <v>25</v>
      </c>
      <c r="K13" s="21">
        <f t="shared" si="1"/>
        <v>1250</v>
      </c>
      <c r="L13" s="2">
        <v>5</v>
      </c>
      <c r="M13" s="21">
        <f t="shared" si="2"/>
        <v>500</v>
      </c>
      <c r="N13" s="2">
        <f t="shared" si="3"/>
        <v>12.5</v>
      </c>
      <c r="O13" s="21">
        <f t="shared" si="4"/>
        <v>125</v>
      </c>
      <c r="P13" s="22">
        <f t="shared" si="5"/>
        <v>1875</v>
      </c>
      <c r="Q13" s="22">
        <f t="shared" si="6"/>
        <v>16950</v>
      </c>
      <c r="S13" s="74" t="s">
        <v>89</v>
      </c>
      <c r="T13" s="74"/>
    </row>
    <row r="14" spans="3:20" x14ac:dyDescent="0.25">
      <c r="C14" s="2" t="s">
        <v>9</v>
      </c>
      <c r="D14" s="26" t="s">
        <v>71</v>
      </c>
      <c r="E14" s="2">
        <v>5</v>
      </c>
      <c r="F14" s="2">
        <v>5</v>
      </c>
      <c r="G14" s="2">
        <v>5</v>
      </c>
      <c r="H14" s="2">
        <v>5</v>
      </c>
      <c r="I14" s="2">
        <v>5</v>
      </c>
      <c r="J14" s="20">
        <f t="shared" si="0"/>
        <v>25</v>
      </c>
      <c r="K14" s="21">
        <f t="shared" si="1"/>
        <v>1250</v>
      </c>
      <c r="L14" s="2">
        <v>3</v>
      </c>
      <c r="M14" s="21">
        <f t="shared" si="2"/>
        <v>300</v>
      </c>
      <c r="N14" s="2">
        <f t="shared" si="3"/>
        <v>12.5</v>
      </c>
      <c r="O14" s="21">
        <f t="shared" si="4"/>
        <v>125</v>
      </c>
      <c r="P14" s="22">
        <f t="shared" si="5"/>
        <v>1675</v>
      </c>
      <c r="Q14" s="22">
        <f t="shared" si="6"/>
        <v>18625</v>
      </c>
    </row>
    <row r="15" spans="3:20" ht="14.4" x14ac:dyDescent="0.3">
      <c r="C15" s="43" t="s">
        <v>10</v>
      </c>
      <c r="D15" s="44" t="s">
        <v>72</v>
      </c>
      <c r="E15" s="43">
        <v>5</v>
      </c>
      <c r="F15" s="43">
        <v>5</v>
      </c>
      <c r="G15" s="43">
        <v>5</v>
      </c>
      <c r="H15" s="43">
        <v>5</v>
      </c>
      <c r="I15" s="43">
        <v>5</v>
      </c>
      <c r="J15" s="20">
        <f t="shared" si="0"/>
        <v>25</v>
      </c>
      <c r="K15" s="45">
        <f t="shared" si="1"/>
        <v>1250</v>
      </c>
      <c r="L15" s="43">
        <v>3</v>
      </c>
      <c r="M15" s="45">
        <f t="shared" si="2"/>
        <v>300</v>
      </c>
      <c r="N15" s="43">
        <f t="shared" si="3"/>
        <v>12.5</v>
      </c>
      <c r="O15" s="45">
        <f t="shared" si="4"/>
        <v>125</v>
      </c>
      <c r="P15" s="46">
        <f t="shared" si="5"/>
        <v>1675</v>
      </c>
      <c r="Q15" s="46">
        <f t="shared" si="6"/>
        <v>20300</v>
      </c>
    </row>
    <row r="16" spans="3:20" x14ac:dyDescent="0.25">
      <c r="C16" s="2" t="s">
        <v>11</v>
      </c>
      <c r="D16" s="26" t="s">
        <v>73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20">
        <f t="shared" si="0"/>
        <v>25</v>
      </c>
      <c r="K16" s="21">
        <f t="shared" si="1"/>
        <v>1250</v>
      </c>
      <c r="L16" s="2">
        <v>5</v>
      </c>
      <c r="M16" s="21">
        <f t="shared" si="2"/>
        <v>500</v>
      </c>
      <c r="N16" s="2">
        <f t="shared" si="3"/>
        <v>12.5</v>
      </c>
      <c r="O16" s="21">
        <f t="shared" si="4"/>
        <v>125</v>
      </c>
      <c r="P16" s="22">
        <f t="shared" si="5"/>
        <v>1875</v>
      </c>
      <c r="Q16" s="22">
        <f t="shared" si="6"/>
        <v>22175</v>
      </c>
    </row>
    <row r="17" spans="3:17" ht="14.4" x14ac:dyDescent="0.3">
      <c r="C17" s="31" t="s">
        <v>12</v>
      </c>
      <c r="D17" s="32" t="s">
        <v>74</v>
      </c>
      <c r="E17" s="31">
        <v>3</v>
      </c>
      <c r="F17" s="31">
        <v>3</v>
      </c>
      <c r="G17" s="31">
        <v>3</v>
      </c>
      <c r="H17" s="31">
        <v>3</v>
      </c>
      <c r="I17" s="31">
        <v>3</v>
      </c>
      <c r="J17" s="20">
        <f t="shared" si="0"/>
        <v>15</v>
      </c>
      <c r="K17" s="33">
        <f t="shared" si="1"/>
        <v>750</v>
      </c>
      <c r="L17" s="31">
        <v>0</v>
      </c>
      <c r="M17" s="33">
        <f t="shared" si="2"/>
        <v>0</v>
      </c>
      <c r="N17" s="31">
        <f t="shared" si="3"/>
        <v>7.5</v>
      </c>
      <c r="O17" s="33">
        <f t="shared" si="4"/>
        <v>75</v>
      </c>
      <c r="P17" s="34">
        <f t="shared" si="5"/>
        <v>825</v>
      </c>
      <c r="Q17" s="34">
        <f t="shared" si="6"/>
        <v>23000</v>
      </c>
    </row>
    <row r="18" spans="3:17" ht="14.4" x14ac:dyDescent="0.3">
      <c r="C18" s="31" t="s">
        <v>13</v>
      </c>
      <c r="D18" s="32" t="s">
        <v>75</v>
      </c>
      <c r="E18" s="31">
        <v>3</v>
      </c>
      <c r="F18" s="31">
        <v>3</v>
      </c>
      <c r="G18" s="31">
        <v>3</v>
      </c>
      <c r="H18" s="31">
        <v>3</v>
      </c>
      <c r="I18" s="31">
        <v>3</v>
      </c>
      <c r="J18" s="20">
        <f t="shared" si="0"/>
        <v>15</v>
      </c>
      <c r="K18" s="33">
        <f t="shared" si="1"/>
        <v>750</v>
      </c>
      <c r="L18" s="31">
        <v>0</v>
      </c>
      <c r="M18" s="33">
        <f t="shared" si="2"/>
        <v>0</v>
      </c>
      <c r="N18" s="31">
        <f t="shared" si="3"/>
        <v>7.5</v>
      </c>
      <c r="O18" s="33">
        <f t="shared" si="4"/>
        <v>75</v>
      </c>
      <c r="P18" s="34">
        <f t="shared" si="5"/>
        <v>825</v>
      </c>
      <c r="Q18" s="34">
        <f t="shared" si="6"/>
        <v>23825</v>
      </c>
    </row>
    <row r="19" spans="3:17" x14ac:dyDescent="0.25">
      <c r="C19" s="2" t="s">
        <v>14</v>
      </c>
      <c r="D19" s="26" t="s">
        <v>76</v>
      </c>
      <c r="E19" s="2">
        <v>7</v>
      </c>
      <c r="F19" s="2">
        <v>7</v>
      </c>
      <c r="G19" s="2">
        <v>7</v>
      </c>
      <c r="H19" s="2">
        <v>7</v>
      </c>
      <c r="I19" s="2">
        <v>7</v>
      </c>
      <c r="J19" s="20">
        <f t="shared" si="0"/>
        <v>35</v>
      </c>
      <c r="K19" s="21">
        <f t="shared" si="1"/>
        <v>1750</v>
      </c>
      <c r="L19" s="2">
        <v>5</v>
      </c>
      <c r="M19" s="21">
        <f t="shared" si="2"/>
        <v>500</v>
      </c>
      <c r="N19" s="2">
        <f t="shared" si="3"/>
        <v>17.5</v>
      </c>
      <c r="O19" s="21">
        <f t="shared" si="4"/>
        <v>175</v>
      </c>
      <c r="P19" s="22">
        <f t="shared" si="5"/>
        <v>2425</v>
      </c>
      <c r="Q19" s="22">
        <f t="shared" si="6"/>
        <v>26250</v>
      </c>
    </row>
    <row r="20" spans="3:17" x14ac:dyDescent="0.25">
      <c r="C20" s="2" t="s">
        <v>53</v>
      </c>
      <c r="D20" s="26" t="s">
        <v>77</v>
      </c>
      <c r="E20" s="2">
        <v>7</v>
      </c>
      <c r="F20" s="2">
        <v>7</v>
      </c>
      <c r="G20" s="2">
        <v>7</v>
      </c>
      <c r="H20" s="2">
        <v>7</v>
      </c>
      <c r="I20" s="2">
        <v>7</v>
      </c>
      <c r="J20" s="20">
        <f t="shared" si="0"/>
        <v>35</v>
      </c>
      <c r="K20" s="21">
        <f t="shared" si="1"/>
        <v>1750</v>
      </c>
      <c r="L20" s="2">
        <v>3</v>
      </c>
      <c r="M20" s="21">
        <f t="shared" si="2"/>
        <v>300</v>
      </c>
      <c r="N20" s="2">
        <f t="shared" si="3"/>
        <v>17.5</v>
      </c>
      <c r="O20" s="21">
        <f t="shared" si="4"/>
        <v>175</v>
      </c>
      <c r="P20" s="22">
        <f t="shared" si="5"/>
        <v>2225</v>
      </c>
      <c r="Q20" s="22">
        <f t="shared" si="6"/>
        <v>28475</v>
      </c>
    </row>
    <row r="21" spans="3:17" ht="14.4" x14ac:dyDescent="0.3">
      <c r="C21" s="39" t="s">
        <v>54</v>
      </c>
      <c r="D21" s="40" t="s">
        <v>78</v>
      </c>
      <c r="E21" s="39">
        <v>0</v>
      </c>
      <c r="F21" s="39">
        <v>0</v>
      </c>
      <c r="G21" s="39">
        <v>0</v>
      </c>
      <c r="H21" s="39">
        <v>0</v>
      </c>
      <c r="I21" s="39">
        <v>0</v>
      </c>
      <c r="J21" s="20">
        <f t="shared" si="0"/>
        <v>0</v>
      </c>
      <c r="K21" s="41">
        <f t="shared" si="1"/>
        <v>0</v>
      </c>
      <c r="L21" s="39">
        <v>0</v>
      </c>
      <c r="M21" s="41">
        <f t="shared" si="2"/>
        <v>0</v>
      </c>
      <c r="N21" s="39">
        <f t="shared" si="3"/>
        <v>0</v>
      </c>
      <c r="O21" s="41">
        <f t="shared" si="4"/>
        <v>0</v>
      </c>
      <c r="P21" s="42">
        <f t="shared" si="5"/>
        <v>0</v>
      </c>
      <c r="Q21" s="42">
        <f t="shared" si="6"/>
        <v>28475</v>
      </c>
    </row>
    <row r="22" spans="3:17" ht="14.4" x14ac:dyDescent="0.3">
      <c r="C22" s="35" t="s">
        <v>55</v>
      </c>
      <c r="D22" s="36" t="s">
        <v>79</v>
      </c>
      <c r="E22" s="35">
        <v>0</v>
      </c>
      <c r="F22" s="35">
        <v>0</v>
      </c>
      <c r="G22" s="35">
        <v>0</v>
      </c>
      <c r="H22" s="35">
        <v>0</v>
      </c>
      <c r="I22" s="35">
        <v>0</v>
      </c>
      <c r="J22" s="20">
        <f t="shared" si="0"/>
        <v>0</v>
      </c>
      <c r="K22" s="37">
        <f t="shared" si="1"/>
        <v>0</v>
      </c>
      <c r="L22" s="35">
        <v>0</v>
      </c>
      <c r="M22" s="37">
        <f t="shared" si="2"/>
        <v>0</v>
      </c>
      <c r="N22" s="35">
        <f t="shared" si="3"/>
        <v>0</v>
      </c>
      <c r="O22" s="37">
        <f t="shared" si="4"/>
        <v>0</v>
      </c>
      <c r="P22" s="38">
        <f t="shared" si="5"/>
        <v>0</v>
      </c>
      <c r="Q22" s="38">
        <f t="shared" si="6"/>
        <v>28475</v>
      </c>
    </row>
    <row r="23" spans="3:17" ht="14.4" x14ac:dyDescent="0.3">
      <c r="C23" s="43" t="s">
        <v>56</v>
      </c>
      <c r="D23" s="44" t="s">
        <v>62</v>
      </c>
      <c r="E23" s="43">
        <v>5</v>
      </c>
      <c r="F23" s="43">
        <v>5</v>
      </c>
      <c r="G23" s="43">
        <v>5</v>
      </c>
      <c r="H23" s="43">
        <v>5</v>
      </c>
      <c r="I23" s="43">
        <v>5</v>
      </c>
      <c r="J23" s="20">
        <f t="shared" si="0"/>
        <v>25</v>
      </c>
      <c r="K23" s="45">
        <f t="shared" si="1"/>
        <v>1250</v>
      </c>
      <c r="L23" s="43">
        <v>5</v>
      </c>
      <c r="M23" s="45">
        <f t="shared" si="2"/>
        <v>500</v>
      </c>
      <c r="N23" s="43">
        <f t="shared" si="3"/>
        <v>12.5</v>
      </c>
      <c r="O23" s="45">
        <f t="shared" si="4"/>
        <v>125</v>
      </c>
      <c r="P23" s="46">
        <f t="shared" si="5"/>
        <v>1875</v>
      </c>
      <c r="Q23" s="46">
        <f t="shared" si="6"/>
        <v>30350</v>
      </c>
    </row>
    <row r="24" spans="3:17" x14ac:dyDescent="0.25">
      <c r="N24" s="4"/>
      <c r="O24" s="4"/>
    </row>
    <row r="25" spans="3:17" ht="15.6" x14ac:dyDescent="0.3">
      <c r="E25" s="1">
        <f>SUM(E5:E24)</f>
        <v>90</v>
      </c>
      <c r="F25" s="1">
        <f>SUM(F5:F24)</f>
        <v>90</v>
      </c>
      <c r="G25" s="1">
        <f>SUM(G5:G24)</f>
        <v>90</v>
      </c>
      <c r="H25" s="1">
        <f>SUM(H5:H23)</f>
        <v>90</v>
      </c>
      <c r="I25" s="1">
        <f>SUM(I5:I23)</f>
        <v>90</v>
      </c>
      <c r="J25" s="1">
        <f>SUM(J5:J23)</f>
        <v>450</v>
      </c>
      <c r="L25" s="1">
        <f>SUM(L5:L23)</f>
        <v>56</v>
      </c>
      <c r="N25" s="1">
        <f>SUM(N5:N23)</f>
        <v>225</v>
      </c>
      <c r="P25" s="5" t="s">
        <v>22</v>
      </c>
      <c r="Q25" s="23">
        <f>+Q23</f>
        <v>30350</v>
      </c>
    </row>
    <row r="26" spans="3:17" ht="17.399999999999999" x14ac:dyDescent="0.3">
      <c r="F26" s="7"/>
    </row>
    <row r="29" spans="3:17" s="6" customFormat="1" ht="15" x14ac:dyDescent="0.25">
      <c r="C29" s="71" t="s">
        <v>90</v>
      </c>
      <c r="D29" s="71"/>
      <c r="E29" s="71"/>
      <c r="G29" s="71" t="s">
        <v>100</v>
      </c>
      <c r="H29" s="71"/>
      <c r="I29" s="71"/>
      <c r="K29" s="71" t="s">
        <v>92</v>
      </c>
      <c r="L29" s="71"/>
      <c r="N29" s="71" t="s">
        <v>91</v>
      </c>
      <c r="O29" s="71"/>
    </row>
    <row r="30" spans="3:17" x14ac:dyDescent="0.25">
      <c r="N30" s="70" t="s">
        <v>101</v>
      </c>
      <c r="O30" s="70"/>
    </row>
  </sheetData>
  <mergeCells count="13">
    <mergeCell ref="E2:F2"/>
    <mergeCell ref="S5:T5"/>
    <mergeCell ref="S7:T7"/>
    <mergeCell ref="N30:O30"/>
    <mergeCell ref="K29:L29"/>
    <mergeCell ref="G29:I29"/>
    <mergeCell ref="C29:E29"/>
    <mergeCell ref="N29:O29"/>
    <mergeCell ref="S9:T9"/>
    <mergeCell ref="S11:T11"/>
    <mergeCell ref="S13:T13"/>
    <mergeCell ref="H2:I2"/>
    <mergeCell ref="K2:L2"/>
  </mergeCells>
  <pageMargins left="0.38" right="0.27559055118110237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I13"/>
  <sheetViews>
    <sheetView workbookViewId="0">
      <selection activeCell="G13" sqref="G13"/>
    </sheetView>
  </sheetViews>
  <sheetFormatPr baseColWidth="10" defaultRowHeight="14.4" x14ac:dyDescent="0.3"/>
  <cols>
    <col min="7" max="7" width="17.88671875" bestFit="1" customWidth="1"/>
  </cols>
  <sheetData>
    <row r="2" spans="1:9" ht="17.399999999999999" x14ac:dyDescent="0.3">
      <c r="B2" s="7"/>
      <c r="C2" s="7"/>
      <c r="D2" s="7"/>
      <c r="E2" s="7"/>
      <c r="F2" s="7"/>
      <c r="G2" s="7"/>
      <c r="H2" s="7"/>
      <c r="I2" s="7"/>
    </row>
    <row r="3" spans="1:9" ht="17.399999999999999" x14ac:dyDescent="0.3">
      <c r="A3" s="76" t="s">
        <v>57</v>
      </c>
      <c r="B3" s="76"/>
      <c r="C3" s="76"/>
      <c r="D3" s="76"/>
      <c r="E3" s="76"/>
      <c r="F3" s="7"/>
      <c r="G3" s="28">
        <f>+'Coût de revient initial'!Q25</f>
        <v>30350</v>
      </c>
      <c r="H3" s="7"/>
      <c r="I3" s="7"/>
    </row>
    <row r="4" spans="1:9" ht="17.399999999999999" x14ac:dyDescent="0.3">
      <c r="B4" s="7"/>
      <c r="C4" s="7"/>
      <c r="D4" s="7"/>
      <c r="E4" s="7"/>
      <c r="F4" s="7"/>
      <c r="G4" s="28"/>
      <c r="H4" s="7"/>
      <c r="I4" s="7"/>
    </row>
    <row r="5" spans="1:9" ht="17.399999999999999" x14ac:dyDescent="0.3">
      <c r="A5" s="76" t="s">
        <v>58</v>
      </c>
      <c r="B5" s="76"/>
      <c r="C5" s="76"/>
      <c r="D5" s="76"/>
      <c r="E5" s="76"/>
      <c r="F5" s="15">
        <v>0.1</v>
      </c>
      <c r="G5" s="28">
        <f>+G3*(1+F5)</f>
        <v>33385</v>
      </c>
      <c r="H5" s="7"/>
      <c r="I5" s="7"/>
    </row>
    <row r="6" spans="1:9" ht="17.399999999999999" x14ac:dyDescent="0.3">
      <c r="B6" s="7"/>
      <c r="C6" s="7"/>
      <c r="D6" s="7"/>
      <c r="E6" s="7"/>
      <c r="F6" s="7"/>
      <c r="G6" s="28"/>
      <c r="H6" s="7"/>
      <c r="I6" s="7"/>
    </row>
    <row r="7" spans="1:9" ht="17.399999999999999" x14ac:dyDescent="0.3">
      <c r="A7" s="76" t="s">
        <v>59</v>
      </c>
      <c r="B7" s="76"/>
      <c r="C7" s="76"/>
      <c r="D7" s="76"/>
      <c r="E7" s="76"/>
      <c r="F7" s="15">
        <v>0.2</v>
      </c>
      <c r="G7" s="28">
        <f>+G5*(1+F7)</f>
        <v>40062</v>
      </c>
      <c r="H7" s="7"/>
      <c r="I7" s="7"/>
    </row>
    <row r="8" spans="1:9" ht="17.399999999999999" x14ac:dyDescent="0.3">
      <c r="B8" s="7"/>
      <c r="C8" s="7"/>
      <c r="D8" s="7"/>
      <c r="E8" s="7"/>
      <c r="F8" s="7"/>
      <c r="G8" s="28"/>
      <c r="H8" s="7"/>
      <c r="I8" s="7"/>
    </row>
    <row r="9" spans="1:9" ht="17.399999999999999" x14ac:dyDescent="0.3">
      <c r="A9" s="76" t="s">
        <v>60</v>
      </c>
      <c r="B9" s="76"/>
      <c r="C9" s="76"/>
      <c r="D9" s="76"/>
      <c r="E9" s="76"/>
      <c r="F9" s="7"/>
      <c r="G9" s="29">
        <f>+G7*1.1</f>
        <v>44068.200000000004</v>
      </c>
      <c r="H9" s="7"/>
      <c r="I9" s="7"/>
    </row>
    <row r="10" spans="1:9" ht="17.399999999999999" x14ac:dyDescent="0.3">
      <c r="B10" s="7"/>
      <c r="C10" s="7"/>
      <c r="D10" s="7"/>
      <c r="E10" s="7"/>
      <c r="F10" s="7"/>
      <c r="G10" s="7"/>
      <c r="H10" s="7"/>
      <c r="I10" s="7"/>
    </row>
    <row r="11" spans="1:9" ht="17.399999999999999" x14ac:dyDescent="0.3">
      <c r="A11" s="76" t="s">
        <v>102</v>
      </c>
      <c r="B11" s="76"/>
      <c r="C11" s="76"/>
      <c r="D11" s="76"/>
      <c r="E11" s="76"/>
      <c r="F11" s="15">
        <v>0.3</v>
      </c>
      <c r="G11" s="28">
        <f>G9*(1+F11)-289</f>
        <v>56999.660000000011</v>
      </c>
      <c r="H11" s="7"/>
      <c r="I11" s="7"/>
    </row>
    <row r="12" spans="1:9" ht="17.399999999999999" x14ac:dyDescent="0.3">
      <c r="E12" s="27"/>
      <c r="G12" s="30"/>
    </row>
    <row r="13" spans="1:9" ht="17.399999999999999" x14ac:dyDescent="0.3">
      <c r="A13" s="76" t="s">
        <v>103</v>
      </c>
      <c r="B13" s="76"/>
      <c r="C13" s="76"/>
      <c r="D13" s="76"/>
      <c r="E13" s="76"/>
      <c r="F13" s="15">
        <v>0.15</v>
      </c>
      <c r="G13" s="28">
        <f>G11*(1-F13)-450</f>
        <v>47999.71100000001</v>
      </c>
    </row>
  </sheetData>
  <mergeCells count="6">
    <mergeCell ref="A3:E3"/>
    <mergeCell ref="A11:E11"/>
    <mergeCell ref="A13:E13"/>
    <mergeCell ref="A9:E9"/>
    <mergeCell ref="A7:E7"/>
    <mergeCell ref="A5:E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2:T28"/>
  <sheetViews>
    <sheetView zoomScale="90" zoomScaleNormal="90" workbookViewId="0">
      <selection activeCell="N29" sqref="N29"/>
    </sheetView>
  </sheetViews>
  <sheetFormatPr baseColWidth="10" defaultColWidth="11.44140625" defaultRowHeight="13.8" x14ac:dyDescent="0.25"/>
  <cols>
    <col min="1" max="2" width="1" style="1" customWidth="1"/>
    <col min="3" max="3" width="13.5546875" style="1" customWidth="1"/>
    <col min="4" max="4" width="18.6640625" style="3" customWidth="1"/>
    <col min="5" max="5" width="10.88671875" style="1" customWidth="1"/>
    <col min="6" max="6" width="13" style="1" customWidth="1"/>
    <col min="7" max="7" width="8.5546875" style="1" customWidth="1"/>
    <col min="8" max="8" width="13.33203125" style="1" customWidth="1"/>
    <col min="9" max="9" width="15.109375" style="1" customWidth="1"/>
    <col min="10" max="10" width="9.88671875" style="1" customWidth="1"/>
    <col min="11" max="11" width="14.88671875" style="1" customWidth="1"/>
    <col min="12" max="12" width="10.6640625" style="1" customWidth="1"/>
    <col min="13" max="13" width="9.5546875" style="1" customWidth="1"/>
    <col min="14" max="14" width="11.44140625" style="1" customWidth="1"/>
    <col min="15" max="15" width="13.44140625" style="1" customWidth="1"/>
    <col min="16" max="17" width="11.44140625" style="1"/>
    <col min="18" max="18" width="7.33203125" style="1" customWidth="1"/>
    <col min="19" max="19" width="15.6640625" style="1" customWidth="1"/>
    <col min="20" max="20" width="18" style="1" customWidth="1"/>
    <col min="21" max="16384" width="11.44140625" style="1"/>
  </cols>
  <sheetData>
    <row r="2" spans="3:20" s="14" customFormat="1" ht="15.6" x14ac:dyDescent="0.3">
      <c r="C2" s="14" t="s">
        <v>15</v>
      </c>
      <c r="D2" s="24"/>
      <c r="E2" s="67" t="s">
        <v>19</v>
      </c>
      <c r="F2" s="67"/>
      <c r="G2" s="19">
        <v>50</v>
      </c>
      <c r="H2" s="67" t="s">
        <v>38</v>
      </c>
      <c r="I2" s="67"/>
      <c r="J2" s="19">
        <v>100</v>
      </c>
      <c r="K2" s="75" t="s">
        <v>39</v>
      </c>
      <c r="L2" s="75"/>
      <c r="M2" s="51">
        <v>10</v>
      </c>
    </row>
    <row r="4" spans="3:20" x14ac:dyDescent="0.25">
      <c r="C4" s="2"/>
      <c r="D4" s="25"/>
      <c r="E4" s="2" t="s">
        <v>80</v>
      </c>
      <c r="F4" s="2" t="s">
        <v>81</v>
      </c>
      <c r="G4" s="2" t="s">
        <v>82</v>
      </c>
      <c r="H4" s="1" t="s">
        <v>83</v>
      </c>
      <c r="I4" s="1" t="s">
        <v>84</v>
      </c>
      <c r="J4" s="2" t="s">
        <v>42</v>
      </c>
      <c r="K4" s="2" t="s">
        <v>20</v>
      </c>
      <c r="L4" s="2" t="s">
        <v>21</v>
      </c>
      <c r="M4" s="2" t="s">
        <v>41</v>
      </c>
      <c r="N4" s="2" t="s">
        <v>43</v>
      </c>
      <c r="O4" s="2" t="s">
        <v>40</v>
      </c>
      <c r="P4" s="2" t="s">
        <v>17</v>
      </c>
      <c r="Q4" s="2" t="s">
        <v>18</v>
      </c>
    </row>
    <row r="5" spans="3:20" ht="14.4" x14ac:dyDescent="0.3">
      <c r="C5" s="2" t="s">
        <v>0</v>
      </c>
      <c r="D5" s="26" t="s">
        <v>61</v>
      </c>
      <c r="E5" s="2">
        <v>7</v>
      </c>
      <c r="F5" s="2">
        <v>7</v>
      </c>
      <c r="G5" s="2">
        <v>7</v>
      </c>
      <c r="H5" s="2">
        <v>7</v>
      </c>
      <c r="I5" s="2">
        <v>7</v>
      </c>
      <c r="J5" s="20">
        <f t="shared" ref="J5:J23" si="0">SUM(E5:I5)</f>
        <v>35</v>
      </c>
      <c r="K5" s="21">
        <f>+J5*$G$2</f>
        <v>1750</v>
      </c>
      <c r="L5" s="2">
        <v>1</v>
      </c>
      <c r="M5" s="21">
        <f>+L5*$J$2</f>
        <v>100</v>
      </c>
      <c r="N5" s="2">
        <f>+J5/2</f>
        <v>17.5</v>
      </c>
      <c r="O5" s="21">
        <f>+N5*$M$2</f>
        <v>175</v>
      </c>
      <c r="P5" s="22">
        <f>+O5+M5+K5</f>
        <v>2025</v>
      </c>
      <c r="Q5" s="22">
        <f>+P5</f>
        <v>2025</v>
      </c>
      <c r="S5" s="68" t="s">
        <v>85</v>
      </c>
      <c r="T5" s="68"/>
    </row>
    <row r="6" spans="3:20" ht="14.4" x14ac:dyDescent="0.3">
      <c r="C6" s="47" t="s">
        <v>1</v>
      </c>
      <c r="D6" s="48" t="s">
        <v>63</v>
      </c>
      <c r="E6" s="47">
        <v>6</v>
      </c>
      <c r="F6" s="47">
        <v>6</v>
      </c>
      <c r="G6" s="47">
        <v>6</v>
      </c>
      <c r="H6" s="47">
        <v>6</v>
      </c>
      <c r="I6" s="47">
        <v>6</v>
      </c>
      <c r="J6" s="20">
        <f t="shared" si="0"/>
        <v>30</v>
      </c>
      <c r="K6" s="49">
        <f t="shared" ref="K6:K22" si="1">+J6*$G$2</f>
        <v>1500</v>
      </c>
      <c r="L6" s="47">
        <v>1</v>
      </c>
      <c r="M6" s="49">
        <f t="shared" ref="M6:M22" si="2">+L6*$J$2</f>
        <v>100</v>
      </c>
      <c r="N6" s="47">
        <f t="shared" ref="N6:N22" si="3">+J6/2</f>
        <v>15</v>
      </c>
      <c r="O6" s="49">
        <f>+N6*$M$2</f>
        <v>150</v>
      </c>
      <c r="P6" s="50">
        <f>+O6+M6+K6</f>
        <v>1750</v>
      </c>
      <c r="Q6" s="50">
        <f>+Q5+P6</f>
        <v>3775</v>
      </c>
    </row>
    <row r="7" spans="3:20" ht="14.4" x14ac:dyDescent="0.3">
      <c r="C7" s="2" t="s">
        <v>2</v>
      </c>
      <c r="D7" s="26" t="s">
        <v>64</v>
      </c>
      <c r="E7" s="2">
        <v>5</v>
      </c>
      <c r="F7" s="2">
        <v>5</v>
      </c>
      <c r="G7" s="2">
        <v>6</v>
      </c>
      <c r="H7" s="2">
        <v>5</v>
      </c>
      <c r="I7" s="2">
        <v>5</v>
      </c>
      <c r="J7" s="20">
        <f t="shared" si="0"/>
        <v>26</v>
      </c>
      <c r="K7" s="21">
        <f t="shared" si="1"/>
        <v>1300</v>
      </c>
      <c r="L7" s="2">
        <v>0</v>
      </c>
      <c r="M7" s="21">
        <f t="shared" si="2"/>
        <v>0</v>
      </c>
      <c r="N7" s="2">
        <f t="shared" si="3"/>
        <v>13</v>
      </c>
      <c r="O7" s="21">
        <f t="shared" ref="O7:O22" si="4">+N7*$M$2</f>
        <v>130</v>
      </c>
      <c r="P7" s="22">
        <f t="shared" ref="P7:P22" si="5">+O7+M7+K7</f>
        <v>1430</v>
      </c>
      <c r="Q7" s="22">
        <f t="shared" ref="Q7:Q23" si="6">+Q6+P7</f>
        <v>5205</v>
      </c>
      <c r="S7" s="69" t="s">
        <v>86</v>
      </c>
      <c r="T7" s="69"/>
    </row>
    <row r="8" spans="3:20" ht="14.4" x14ac:dyDescent="0.3">
      <c r="C8" s="47" t="s">
        <v>3</v>
      </c>
      <c r="D8" s="48" t="s">
        <v>65</v>
      </c>
      <c r="E8" s="47">
        <v>5</v>
      </c>
      <c r="F8" s="47">
        <v>5</v>
      </c>
      <c r="G8" s="47">
        <v>9</v>
      </c>
      <c r="H8" s="47">
        <v>5</v>
      </c>
      <c r="I8" s="47">
        <v>5</v>
      </c>
      <c r="J8" s="20">
        <f t="shared" si="0"/>
        <v>29</v>
      </c>
      <c r="K8" s="49">
        <f t="shared" si="1"/>
        <v>1450</v>
      </c>
      <c r="L8" s="47">
        <v>2</v>
      </c>
      <c r="M8" s="49">
        <f t="shared" si="2"/>
        <v>200</v>
      </c>
      <c r="N8" s="47">
        <f t="shared" si="3"/>
        <v>14.5</v>
      </c>
      <c r="O8" s="49">
        <f t="shared" si="4"/>
        <v>145</v>
      </c>
      <c r="P8" s="50">
        <f t="shared" si="5"/>
        <v>1795</v>
      </c>
      <c r="Q8" s="50">
        <f t="shared" si="6"/>
        <v>7000</v>
      </c>
    </row>
    <row r="9" spans="3:20" ht="14.4" x14ac:dyDescent="0.3">
      <c r="C9" s="31" t="s">
        <v>4</v>
      </c>
      <c r="D9" s="32" t="s">
        <v>66</v>
      </c>
      <c r="E9" s="31">
        <v>5</v>
      </c>
      <c r="F9" s="31">
        <v>5</v>
      </c>
      <c r="G9" s="31">
        <v>5</v>
      </c>
      <c r="H9" s="31">
        <v>5</v>
      </c>
      <c r="I9" s="31">
        <v>5</v>
      </c>
      <c r="J9" s="20">
        <f t="shared" si="0"/>
        <v>25</v>
      </c>
      <c r="K9" s="33">
        <f t="shared" si="1"/>
        <v>1250</v>
      </c>
      <c r="L9" s="31">
        <v>0</v>
      </c>
      <c r="M9" s="33">
        <f t="shared" si="2"/>
        <v>0</v>
      </c>
      <c r="N9" s="31">
        <f t="shared" si="3"/>
        <v>12.5</v>
      </c>
      <c r="O9" s="33">
        <f t="shared" si="4"/>
        <v>125</v>
      </c>
      <c r="P9" s="34">
        <f t="shared" si="5"/>
        <v>1375</v>
      </c>
      <c r="Q9" s="34">
        <f t="shared" si="6"/>
        <v>8375</v>
      </c>
      <c r="S9" s="72" t="s">
        <v>87</v>
      </c>
      <c r="T9" s="72"/>
    </row>
    <row r="10" spans="3:20" x14ac:dyDescent="0.25">
      <c r="C10" s="2" t="s">
        <v>5</v>
      </c>
      <c r="D10" s="26" t="s">
        <v>67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20">
        <f t="shared" si="0"/>
        <v>25</v>
      </c>
      <c r="K10" s="21">
        <f t="shared" si="1"/>
        <v>1250</v>
      </c>
      <c r="L10" s="2">
        <v>2</v>
      </c>
      <c r="M10" s="21">
        <f t="shared" si="2"/>
        <v>200</v>
      </c>
      <c r="N10" s="2">
        <f t="shared" si="3"/>
        <v>12.5</v>
      </c>
      <c r="O10" s="21">
        <f t="shared" si="4"/>
        <v>125</v>
      </c>
      <c r="P10" s="22">
        <f t="shared" si="5"/>
        <v>1575</v>
      </c>
      <c r="Q10" s="22">
        <f t="shared" si="6"/>
        <v>9950</v>
      </c>
    </row>
    <row r="11" spans="3:20" ht="14.4" x14ac:dyDescent="0.3">
      <c r="C11" s="2" t="s">
        <v>6</v>
      </c>
      <c r="D11" s="26" t="s">
        <v>68</v>
      </c>
      <c r="E11" s="2">
        <v>5</v>
      </c>
      <c r="F11" s="2">
        <v>5</v>
      </c>
      <c r="G11" s="2">
        <v>5</v>
      </c>
      <c r="H11" s="2">
        <v>5</v>
      </c>
      <c r="I11" s="2">
        <v>5</v>
      </c>
      <c r="J11" s="20">
        <f t="shared" si="0"/>
        <v>25</v>
      </c>
      <c r="K11" s="21">
        <f t="shared" si="1"/>
        <v>1250</v>
      </c>
      <c r="L11" s="2">
        <v>2</v>
      </c>
      <c r="M11" s="21">
        <f t="shared" si="2"/>
        <v>200</v>
      </c>
      <c r="N11" s="2">
        <f t="shared" si="3"/>
        <v>12.5</v>
      </c>
      <c r="O11" s="21">
        <f t="shared" si="4"/>
        <v>125</v>
      </c>
      <c r="P11" s="22">
        <f t="shared" si="5"/>
        <v>1575</v>
      </c>
      <c r="Q11" s="22">
        <f t="shared" si="6"/>
        <v>11525</v>
      </c>
      <c r="S11" s="73" t="s">
        <v>88</v>
      </c>
      <c r="T11" s="73"/>
    </row>
    <row r="12" spans="3:20" x14ac:dyDescent="0.25">
      <c r="C12" s="2" t="s">
        <v>7</v>
      </c>
      <c r="D12" s="26" t="s">
        <v>69</v>
      </c>
      <c r="E12" s="2">
        <v>3</v>
      </c>
      <c r="F12" s="2">
        <v>3</v>
      </c>
      <c r="G12" s="2">
        <v>3</v>
      </c>
      <c r="H12" s="2">
        <v>3</v>
      </c>
      <c r="I12" s="2">
        <v>3</v>
      </c>
      <c r="J12" s="20">
        <f t="shared" si="0"/>
        <v>15</v>
      </c>
      <c r="K12" s="21">
        <f t="shared" si="1"/>
        <v>750</v>
      </c>
      <c r="L12" s="2">
        <v>0</v>
      </c>
      <c r="M12" s="21">
        <f t="shared" si="2"/>
        <v>0</v>
      </c>
      <c r="N12" s="2">
        <f t="shared" si="3"/>
        <v>7.5</v>
      </c>
      <c r="O12" s="21">
        <f t="shared" si="4"/>
        <v>75</v>
      </c>
      <c r="P12" s="22">
        <f t="shared" si="5"/>
        <v>825</v>
      </c>
      <c r="Q12" s="22">
        <f t="shared" si="6"/>
        <v>12350</v>
      </c>
    </row>
    <row r="13" spans="3:20" ht="14.4" x14ac:dyDescent="0.3">
      <c r="C13" s="2" t="s">
        <v>8</v>
      </c>
      <c r="D13" s="26" t="s">
        <v>70</v>
      </c>
      <c r="E13" s="2">
        <v>4</v>
      </c>
      <c r="F13" s="2">
        <v>4</v>
      </c>
      <c r="G13" s="2">
        <v>4</v>
      </c>
      <c r="H13" s="2">
        <v>4</v>
      </c>
      <c r="I13" s="2">
        <v>4</v>
      </c>
      <c r="J13" s="20">
        <f t="shared" si="0"/>
        <v>20</v>
      </c>
      <c r="K13" s="21">
        <f t="shared" si="1"/>
        <v>1000</v>
      </c>
      <c r="L13" s="2">
        <v>0</v>
      </c>
      <c r="M13" s="21">
        <f t="shared" si="2"/>
        <v>0</v>
      </c>
      <c r="N13" s="2">
        <f t="shared" si="3"/>
        <v>10</v>
      </c>
      <c r="O13" s="21">
        <f t="shared" si="4"/>
        <v>100</v>
      </c>
      <c r="P13" s="22">
        <f t="shared" si="5"/>
        <v>1100</v>
      </c>
      <c r="Q13" s="22">
        <f t="shared" si="6"/>
        <v>13450</v>
      </c>
      <c r="S13" s="74" t="s">
        <v>89</v>
      </c>
      <c r="T13" s="74"/>
    </row>
    <row r="14" spans="3:20" x14ac:dyDescent="0.25">
      <c r="C14" s="2" t="s">
        <v>9</v>
      </c>
      <c r="D14" s="26" t="s">
        <v>71</v>
      </c>
      <c r="E14" s="2">
        <v>3</v>
      </c>
      <c r="F14" s="2">
        <v>3</v>
      </c>
      <c r="G14" s="2">
        <v>3</v>
      </c>
      <c r="H14" s="2">
        <v>3</v>
      </c>
      <c r="I14" s="2">
        <v>3</v>
      </c>
      <c r="J14" s="20">
        <f t="shared" si="0"/>
        <v>15</v>
      </c>
      <c r="K14" s="21">
        <f t="shared" si="1"/>
        <v>750</v>
      </c>
      <c r="L14" s="2">
        <v>0</v>
      </c>
      <c r="M14" s="21">
        <f t="shared" si="2"/>
        <v>0</v>
      </c>
      <c r="N14" s="2">
        <f t="shared" si="3"/>
        <v>7.5</v>
      </c>
      <c r="O14" s="21">
        <f t="shared" si="4"/>
        <v>75</v>
      </c>
      <c r="P14" s="22">
        <f t="shared" si="5"/>
        <v>825</v>
      </c>
      <c r="Q14" s="22">
        <f t="shared" si="6"/>
        <v>14275</v>
      </c>
    </row>
    <row r="15" spans="3:20" ht="14.4" x14ac:dyDescent="0.3">
      <c r="C15" s="54" t="s">
        <v>10</v>
      </c>
      <c r="D15" s="55" t="s">
        <v>72</v>
      </c>
      <c r="E15" s="54">
        <v>3</v>
      </c>
      <c r="F15" s="54">
        <v>3</v>
      </c>
      <c r="G15" s="54">
        <v>3</v>
      </c>
      <c r="H15" s="54">
        <v>3</v>
      </c>
      <c r="I15" s="54">
        <v>3</v>
      </c>
      <c r="J15" s="20">
        <f t="shared" si="0"/>
        <v>15</v>
      </c>
      <c r="K15" s="64">
        <f t="shared" si="1"/>
        <v>750</v>
      </c>
      <c r="L15" s="54">
        <v>1</v>
      </c>
      <c r="M15" s="64">
        <f t="shared" si="2"/>
        <v>100</v>
      </c>
      <c r="N15" s="54">
        <f t="shared" si="3"/>
        <v>7.5</v>
      </c>
      <c r="O15" s="64">
        <f t="shared" si="4"/>
        <v>75</v>
      </c>
      <c r="P15" s="65">
        <f t="shared" si="5"/>
        <v>925</v>
      </c>
      <c r="Q15" s="65">
        <f t="shared" si="6"/>
        <v>15200</v>
      </c>
    </row>
    <row r="16" spans="3:20" x14ac:dyDescent="0.25">
      <c r="C16" s="59" t="s">
        <v>11</v>
      </c>
      <c r="D16" s="62" t="s">
        <v>73</v>
      </c>
      <c r="E16" s="59">
        <v>2</v>
      </c>
      <c r="F16" s="59">
        <v>2</v>
      </c>
      <c r="G16" s="59">
        <v>2</v>
      </c>
      <c r="H16" s="59">
        <v>2</v>
      </c>
      <c r="I16" s="59">
        <v>2</v>
      </c>
      <c r="J16" s="20">
        <f t="shared" si="0"/>
        <v>10</v>
      </c>
      <c r="K16" s="63">
        <f t="shared" si="1"/>
        <v>500</v>
      </c>
      <c r="L16" s="59">
        <v>0</v>
      </c>
      <c r="M16" s="63">
        <f t="shared" si="2"/>
        <v>0</v>
      </c>
      <c r="N16" s="59">
        <f t="shared" si="3"/>
        <v>5</v>
      </c>
      <c r="O16" s="63">
        <f t="shared" si="4"/>
        <v>50</v>
      </c>
      <c r="P16" s="60">
        <f t="shared" si="5"/>
        <v>550</v>
      </c>
      <c r="Q16" s="60">
        <f t="shared" si="6"/>
        <v>15750</v>
      </c>
    </row>
    <row r="17" spans="3:17" ht="14.4" x14ac:dyDescent="0.3">
      <c r="C17" s="31" t="s">
        <v>12</v>
      </c>
      <c r="D17" s="32" t="s">
        <v>74</v>
      </c>
      <c r="E17" s="31">
        <v>4</v>
      </c>
      <c r="F17" s="31">
        <v>5</v>
      </c>
      <c r="G17" s="31">
        <v>6</v>
      </c>
      <c r="H17" s="31">
        <v>8</v>
      </c>
      <c r="I17" s="31">
        <v>2</v>
      </c>
      <c r="J17" s="20">
        <f t="shared" si="0"/>
        <v>25</v>
      </c>
      <c r="K17" s="33">
        <f t="shared" si="1"/>
        <v>1250</v>
      </c>
      <c r="L17" s="31">
        <v>0</v>
      </c>
      <c r="M17" s="33">
        <f t="shared" si="2"/>
        <v>0</v>
      </c>
      <c r="N17" s="31">
        <f t="shared" si="3"/>
        <v>12.5</v>
      </c>
      <c r="O17" s="33">
        <f t="shared" si="4"/>
        <v>125</v>
      </c>
      <c r="P17" s="34">
        <f t="shared" si="5"/>
        <v>1375</v>
      </c>
      <c r="Q17" s="34">
        <f t="shared" si="6"/>
        <v>17125</v>
      </c>
    </row>
    <row r="18" spans="3:17" ht="14.4" x14ac:dyDescent="0.3">
      <c r="C18" s="31" t="s">
        <v>13</v>
      </c>
      <c r="D18" s="32" t="s">
        <v>75</v>
      </c>
      <c r="E18" s="31">
        <v>1</v>
      </c>
      <c r="F18" s="31">
        <v>1</v>
      </c>
      <c r="G18" s="31">
        <v>1</v>
      </c>
      <c r="H18" s="31">
        <v>3</v>
      </c>
      <c r="I18" s="31">
        <v>1</v>
      </c>
      <c r="J18" s="20">
        <f t="shared" si="0"/>
        <v>7</v>
      </c>
      <c r="K18" s="33">
        <f t="shared" si="1"/>
        <v>350</v>
      </c>
      <c r="L18" s="31">
        <v>0</v>
      </c>
      <c r="M18" s="33">
        <f t="shared" si="2"/>
        <v>0</v>
      </c>
      <c r="N18" s="31">
        <f t="shared" si="3"/>
        <v>3.5</v>
      </c>
      <c r="O18" s="33">
        <f t="shared" si="4"/>
        <v>35</v>
      </c>
      <c r="P18" s="34">
        <f t="shared" si="5"/>
        <v>385</v>
      </c>
      <c r="Q18" s="34">
        <f t="shared" si="6"/>
        <v>17510</v>
      </c>
    </row>
    <row r="19" spans="3:17" x14ac:dyDescent="0.25">
      <c r="C19" s="2" t="s">
        <v>14</v>
      </c>
      <c r="D19" s="26" t="s">
        <v>76</v>
      </c>
      <c r="E19" s="2">
        <v>5</v>
      </c>
      <c r="F19" s="2">
        <v>6</v>
      </c>
      <c r="G19" s="2">
        <v>7</v>
      </c>
      <c r="H19" s="2">
        <v>8</v>
      </c>
      <c r="I19" s="2">
        <v>5</v>
      </c>
      <c r="J19" s="20">
        <f t="shared" si="0"/>
        <v>31</v>
      </c>
      <c r="K19" s="21">
        <f t="shared" si="1"/>
        <v>1550</v>
      </c>
      <c r="L19" s="2">
        <v>3</v>
      </c>
      <c r="M19" s="21">
        <f t="shared" si="2"/>
        <v>300</v>
      </c>
      <c r="N19" s="2">
        <f t="shared" si="3"/>
        <v>15.5</v>
      </c>
      <c r="O19" s="21">
        <f t="shared" si="4"/>
        <v>155</v>
      </c>
      <c r="P19" s="22">
        <f t="shared" si="5"/>
        <v>2005</v>
      </c>
      <c r="Q19" s="22">
        <f t="shared" si="6"/>
        <v>19515</v>
      </c>
    </row>
    <row r="20" spans="3:17" ht="13.95" customHeight="1" x14ac:dyDescent="0.25">
      <c r="C20" s="2" t="s">
        <v>53</v>
      </c>
      <c r="D20" s="26" t="s">
        <v>77</v>
      </c>
      <c r="E20" s="2">
        <v>3</v>
      </c>
      <c r="F20" s="2">
        <v>5</v>
      </c>
      <c r="G20" s="2">
        <v>5</v>
      </c>
      <c r="H20" s="2">
        <v>5</v>
      </c>
      <c r="I20" s="2">
        <v>1</v>
      </c>
      <c r="J20" s="20">
        <f t="shared" si="0"/>
        <v>19</v>
      </c>
      <c r="K20" s="21">
        <f t="shared" si="1"/>
        <v>950</v>
      </c>
      <c r="L20" s="2">
        <v>0</v>
      </c>
      <c r="M20" s="21">
        <f t="shared" si="2"/>
        <v>0</v>
      </c>
      <c r="N20" s="2">
        <f t="shared" si="3"/>
        <v>9.5</v>
      </c>
      <c r="O20" s="21">
        <f t="shared" si="4"/>
        <v>95</v>
      </c>
      <c r="P20" s="22">
        <f t="shared" si="5"/>
        <v>1045</v>
      </c>
      <c r="Q20" s="22">
        <f t="shared" si="6"/>
        <v>20560</v>
      </c>
    </row>
    <row r="21" spans="3:17" ht="13.95" customHeight="1" x14ac:dyDescent="0.3">
      <c r="C21" s="39" t="s">
        <v>54</v>
      </c>
      <c r="D21" s="40" t="s">
        <v>78</v>
      </c>
      <c r="E21" s="39">
        <v>2</v>
      </c>
      <c r="F21" s="39">
        <v>4</v>
      </c>
      <c r="G21" s="39">
        <v>4</v>
      </c>
      <c r="H21" s="39">
        <v>4</v>
      </c>
      <c r="I21" s="39">
        <v>1</v>
      </c>
      <c r="J21" s="20">
        <f t="shared" si="0"/>
        <v>15</v>
      </c>
      <c r="K21" s="41">
        <f t="shared" si="1"/>
        <v>750</v>
      </c>
      <c r="L21" s="39">
        <v>2</v>
      </c>
      <c r="M21" s="41">
        <f t="shared" si="2"/>
        <v>200</v>
      </c>
      <c r="N21" s="39">
        <f t="shared" si="3"/>
        <v>7.5</v>
      </c>
      <c r="O21" s="41">
        <f t="shared" si="4"/>
        <v>75</v>
      </c>
      <c r="P21" s="42">
        <f t="shared" si="5"/>
        <v>1025</v>
      </c>
      <c r="Q21" s="42">
        <f t="shared" si="6"/>
        <v>21585</v>
      </c>
    </row>
    <row r="22" spans="3:17" ht="14.4" x14ac:dyDescent="0.3">
      <c r="C22" s="35" t="s">
        <v>55</v>
      </c>
      <c r="D22" s="36" t="s">
        <v>79</v>
      </c>
      <c r="E22" s="35">
        <v>3</v>
      </c>
      <c r="F22" s="35">
        <v>3</v>
      </c>
      <c r="G22" s="35">
        <v>3</v>
      </c>
      <c r="H22" s="35">
        <v>3</v>
      </c>
      <c r="I22" s="35">
        <v>0</v>
      </c>
      <c r="J22" s="20">
        <f t="shared" si="0"/>
        <v>12</v>
      </c>
      <c r="K22" s="37">
        <f t="shared" si="1"/>
        <v>600</v>
      </c>
      <c r="L22" s="35">
        <v>0</v>
      </c>
      <c r="M22" s="37">
        <f t="shared" si="2"/>
        <v>0</v>
      </c>
      <c r="N22" s="35">
        <f t="shared" si="3"/>
        <v>6</v>
      </c>
      <c r="O22" s="37">
        <f t="shared" si="4"/>
        <v>60</v>
      </c>
      <c r="P22" s="38">
        <f t="shared" si="5"/>
        <v>660</v>
      </c>
      <c r="Q22" s="38">
        <f t="shared" si="6"/>
        <v>22245</v>
      </c>
    </row>
    <row r="23" spans="3:17" ht="14.4" x14ac:dyDescent="0.3">
      <c r="C23" s="54" t="s">
        <v>56</v>
      </c>
      <c r="D23" s="55" t="s">
        <v>62</v>
      </c>
      <c r="E23" s="54">
        <v>7</v>
      </c>
      <c r="F23" s="54">
        <v>7</v>
      </c>
      <c r="G23" s="54">
        <v>7</v>
      </c>
      <c r="H23" s="54">
        <v>7</v>
      </c>
      <c r="I23" s="54">
        <v>2</v>
      </c>
      <c r="J23" s="20">
        <f t="shared" si="0"/>
        <v>30</v>
      </c>
      <c r="K23" s="64">
        <f>+J23*$G$2</f>
        <v>1500</v>
      </c>
      <c r="L23" s="54">
        <v>4</v>
      </c>
      <c r="M23" s="64">
        <f>+L23*$J$2</f>
        <v>400</v>
      </c>
      <c r="N23" s="54">
        <f>+J23/2</f>
        <v>15</v>
      </c>
      <c r="O23" s="64">
        <f>+N23*$M$2</f>
        <v>150</v>
      </c>
      <c r="P23" s="65">
        <f>+O23+M23+K23</f>
        <v>2050</v>
      </c>
      <c r="Q23" s="65">
        <f t="shared" si="6"/>
        <v>24295</v>
      </c>
    </row>
    <row r="25" spans="3:17" ht="15.6" x14ac:dyDescent="0.3">
      <c r="E25" s="56">
        <f>SUM(E5:E23)</f>
        <v>78</v>
      </c>
      <c r="F25" s="56">
        <f>SUM(F5:F23)</f>
        <v>84</v>
      </c>
      <c r="G25" s="56">
        <f>SUM(G5:G23)</f>
        <v>91</v>
      </c>
      <c r="H25" s="56">
        <f>SUM(H5:H23)</f>
        <v>91</v>
      </c>
      <c r="I25" s="56">
        <f>SUM(I5:I23)</f>
        <v>65</v>
      </c>
      <c r="J25" s="56"/>
      <c r="K25" s="56"/>
      <c r="L25" s="56">
        <f>SUM(L5:L23)</f>
        <v>18</v>
      </c>
      <c r="M25" s="56"/>
      <c r="N25" s="56">
        <f>SUM(N5:N23)</f>
        <v>204.5</v>
      </c>
      <c r="O25" s="56"/>
      <c r="P25" s="57" t="s">
        <v>22</v>
      </c>
      <c r="Q25" s="58">
        <f>Q23</f>
        <v>24295</v>
      </c>
    </row>
    <row r="28" spans="3:17" s="6" customFormat="1" ht="15" x14ac:dyDescent="0.25">
      <c r="C28" s="71" t="s">
        <v>98</v>
      </c>
      <c r="D28" s="71"/>
      <c r="E28" s="71"/>
      <c r="G28" s="71" t="s">
        <v>100</v>
      </c>
      <c r="H28" s="71"/>
      <c r="I28" s="71"/>
      <c r="J28" s="53"/>
      <c r="K28" s="6" t="s">
        <v>99</v>
      </c>
      <c r="N28" s="71" t="s">
        <v>104</v>
      </c>
      <c r="O28" s="71"/>
    </row>
  </sheetData>
  <mergeCells count="11">
    <mergeCell ref="N28:O28"/>
    <mergeCell ref="C28:E28"/>
    <mergeCell ref="E2:F2"/>
    <mergeCell ref="H2:I2"/>
    <mergeCell ref="K2:L2"/>
    <mergeCell ref="G28:I28"/>
    <mergeCell ref="S5:T5"/>
    <mergeCell ref="S7:T7"/>
    <mergeCell ref="S9:T9"/>
    <mergeCell ref="S11:T11"/>
    <mergeCell ref="S13:T13"/>
  </mergeCells>
  <pageMargins left="0.38" right="0.27559055118110237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2:T6"/>
  <sheetViews>
    <sheetView topLeftCell="B1" workbookViewId="0">
      <selection activeCell="R6" sqref="R6"/>
    </sheetView>
  </sheetViews>
  <sheetFormatPr baseColWidth="10" defaultColWidth="11.44140625" defaultRowHeight="15" x14ac:dyDescent="0.25"/>
  <cols>
    <col min="1" max="1" width="22.88671875" style="6" customWidth="1"/>
    <col min="2" max="16" width="9.109375" style="8" customWidth="1"/>
    <col min="17" max="16384" width="11.44140625" style="6"/>
  </cols>
  <sheetData>
    <row r="2" spans="1:20" s="10" customFormat="1" ht="24.6" x14ac:dyDescent="0.4">
      <c r="B2" s="12" t="s">
        <v>52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5" spans="1:20" x14ac:dyDescent="0.25">
      <c r="A5" s="52"/>
      <c r="B5" s="9" t="s">
        <v>23</v>
      </c>
      <c r="C5" s="9" t="s">
        <v>24</v>
      </c>
      <c r="D5" s="9" t="s">
        <v>25</v>
      </c>
      <c r="E5" s="9" t="s">
        <v>26</v>
      </c>
      <c r="F5" s="9" t="s">
        <v>27</v>
      </c>
      <c r="G5" s="9" t="s">
        <v>28</v>
      </c>
      <c r="H5" s="9" t="s">
        <v>29</v>
      </c>
      <c r="I5" s="9" t="s">
        <v>30</v>
      </c>
      <c r="J5" s="9" t="s">
        <v>31</v>
      </c>
      <c r="K5" s="9" t="s">
        <v>32</v>
      </c>
      <c r="L5" s="9" t="s">
        <v>33</v>
      </c>
      <c r="M5" s="9" t="s">
        <v>34</v>
      </c>
      <c r="N5" s="9" t="s">
        <v>35</v>
      </c>
      <c r="O5" s="9" t="s">
        <v>36</v>
      </c>
      <c r="P5" s="9" t="s">
        <v>37</v>
      </c>
      <c r="Q5" s="9" t="s">
        <v>93</v>
      </c>
      <c r="R5" s="9" t="s">
        <v>94</v>
      </c>
      <c r="S5" s="9" t="s">
        <v>95</v>
      </c>
      <c r="T5" s="9" t="s">
        <v>96</v>
      </c>
    </row>
    <row r="6" spans="1:20" x14ac:dyDescent="0.25">
      <c r="A6" s="52" t="s">
        <v>97</v>
      </c>
      <c r="B6" s="9">
        <v>30350</v>
      </c>
      <c r="C6" s="9">
        <v>24700</v>
      </c>
      <c r="D6" s="9">
        <v>26350</v>
      </c>
      <c r="E6" s="9">
        <v>27175</v>
      </c>
      <c r="F6" s="9">
        <v>26625</v>
      </c>
      <c r="G6" s="9">
        <v>27000</v>
      </c>
      <c r="H6" s="9">
        <v>27000</v>
      </c>
      <c r="I6" s="9">
        <v>26725</v>
      </c>
      <c r="J6" s="9">
        <v>26400</v>
      </c>
      <c r="K6" s="9">
        <v>26350</v>
      </c>
      <c r="L6" s="9">
        <v>26800</v>
      </c>
      <c r="M6" s="9">
        <v>26475</v>
      </c>
      <c r="N6" s="9">
        <v>24650</v>
      </c>
      <c r="O6" s="9">
        <v>24535</v>
      </c>
      <c r="P6" s="9">
        <v>25715</v>
      </c>
      <c r="Q6" s="52">
        <v>26270</v>
      </c>
      <c r="R6" s="52">
        <v>25885</v>
      </c>
      <c r="S6" s="52">
        <v>25045</v>
      </c>
      <c r="T6" s="52">
        <v>24295</v>
      </c>
    </row>
  </sheetData>
  <phoneticPr fontId="11" type="noConversion"/>
  <pageMargins left="0.38" right="0.38" top="0.74803149606299213" bottom="0.74803149606299213" header="0.31496062992125984" footer="0.31496062992125984"/>
  <pageSetup paperSize="9" scale="84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"/>
  <sheetViews>
    <sheetView tabSelected="1" workbookViewId="0">
      <selection activeCell="D13" sqref="D13"/>
    </sheetView>
  </sheetViews>
  <sheetFormatPr baseColWidth="10" defaultRowHeight="14.4" x14ac:dyDescent="0.3"/>
  <cols>
    <col min="1" max="1" width="25" customWidth="1"/>
    <col min="4" max="4" width="31.44140625" customWidth="1"/>
    <col min="6" max="6" width="25" customWidth="1"/>
    <col min="9" max="9" width="30.44140625" customWidth="1"/>
  </cols>
  <sheetData>
    <row r="1" spans="1:9" x14ac:dyDescent="0.3">
      <c r="A1" s="77" t="s">
        <v>111</v>
      </c>
      <c r="B1" s="77"/>
      <c r="C1" s="77"/>
      <c r="D1" s="77"/>
      <c r="F1" s="77" t="s">
        <v>113</v>
      </c>
      <c r="G1" s="77"/>
      <c r="H1" s="77"/>
      <c r="I1" s="77"/>
    </row>
    <row r="2" spans="1:9" x14ac:dyDescent="0.3">
      <c r="A2" t="s">
        <v>105</v>
      </c>
      <c r="B2">
        <v>48000</v>
      </c>
      <c r="F2" t="s">
        <v>105</v>
      </c>
      <c r="G2">
        <v>48000</v>
      </c>
    </row>
    <row r="3" spans="1:9" x14ac:dyDescent="0.3">
      <c r="A3" t="s">
        <v>106</v>
      </c>
      <c r="B3">
        <v>24295</v>
      </c>
      <c r="F3" t="s">
        <v>112</v>
      </c>
      <c r="G3">
        <v>30350</v>
      </c>
    </row>
    <row r="4" spans="1:9" x14ac:dyDescent="0.3">
      <c r="A4" t="s">
        <v>107</v>
      </c>
      <c r="B4">
        <f>B3*0.2</f>
        <v>4859</v>
      </c>
      <c r="F4" t="s">
        <v>115</v>
      </c>
      <c r="G4">
        <f>10%*G3</f>
        <v>3035</v>
      </c>
    </row>
    <row r="5" spans="1:9" x14ac:dyDescent="0.3">
      <c r="A5" t="s">
        <v>108</v>
      </c>
      <c r="B5">
        <f>B2-(B3+B4)</f>
        <v>18846</v>
      </c>
      <c r="F5" t="s">
        <v>107</v>
      </c>
      <c r="G5">
        <f>(G3+G4)*0.2</f>
        <v>6677</v>
      </c>
    </row>
    <row r="6" spans="1:9" x14ac:dyDescent="0.3">
      <c r="A6" t="s">
        <v>110</v>
      </c>
      <c r="B6">
        <f>B5*0.25</f>
        <v>4711.5</v>
      </c>
      <c r="F6" t="s">
        <v>108</v>
      </c>
      <c r="G6">
        <f>G2-(G3+G4+G5)</f>
        <v>7938</v>
      </c>
    </row>
    <row r="7" spans="1:9" x14ac:dyDescent="0.3">
      <c r="A7" t="s">
        <v>109</v>
      </c>
      <c r="B7">
        <f>B5-B6</f>
        <v>14134.5</v>
      </c>
      <c r="C7" s="66">
        <f>B7/B2*100</f>
        <v>29.446874999999999</v>
      </c>
      <c r="D7" t="s">
        <v>114</v>
      </c>
      <c r="F7" t="s">
        <v>110</v>
      </c>
      <c r="G7">
        <f>G6*0.25</f>
        <v>1984.5</v>
      </c>
    </row>
    <row r="8" spans="1:9" x14ac:dyDescent="0.3">
      <c r="F8" t="s">
        <v>109</v>
      </c>
      <c r="G8">
        <f>G6-G7</f>
        <v>5953.5</v>
      </c>
      <c r="H8" s="66">
        <f>G8/G2*100</f>
        <v>12.403124999999999</v>
      </c>
      <c r="I8" t="s">
        <v>114</v>
      </c>
    </row>
  </sheetData>
  <mergeCells count="2">
    <mergeCell ref="A1:D1"/>
    <mergeCell ref="F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Taux horaire</vt:lpstr>
      <vt:lpstr>Coût de revient initial</vt:lpstr>
      <vt:lpstr>Prix de Vente</vt:lpstr>
      <vt:lpstr>Coût de revient à jour</vt:lpstr>
      <vt:lpstr>Evolution du coût de revient</vt:lpstr>
      <vt:lpstr>Résultat financer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zyrtion</cp:lastModifiedBy>
  <cp:lastPrinted>2016-09-19T12:22:01Z</cp:lastPrinted>
  <dcterms:created xsi:type="dcterms:W3CDTF">2016-03-16T13:33:50Z</dcterms:created>
  <dcterms:modified xsi:type="dcterms:W3CDTF">2020-06-08T05:38:59Z</dcterms:modified>
</cp:coreProperties>
</file>