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hacuk-my.sharepoint.com/personal/dombra_ceh_ac_uk/Documents/Dom Mosquito Project/Project/Data/"/>
    </mc:Choice>
  </mc:AlternateContent>
  <xr:revisionPtr revIDLastSave="897" documentId="14_{9F05457D-7A53-4DE3-91D1-58000FFF4A6E}" xr6:coauthVersionLast="47" xr6:coauthVersionMax="47" xr10:uidLastSave="{95DAD00A-F0A3-4AF2-922B-21E37D36FB5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Sheet1!$A$1:$AF$356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9" i="1" l="1"/>
  <c r="E320" i="1"/>
  <c r="E321" i="1"/>
  <c r="E322" i="1"/>
  <c r="E323" i="1"/>
  <c r="E324" i="1"/>
  <c r="E325" i="1"/>
  <c r="E326" i="1"/>
  <c r="E327" i="1"/>
  <c r="E318" i="1"/>
  <c r="E313" i="1"/>
  <c r="E314" i="1"/>
  <c r="E315" i="1"/>
  <c r="E312" i="1"/>
  <c r="E304" i="1"/>
  <c r="E303" i="1"/>
  <c r="D31" i="2"/>
  <c r="C31" i="2"/>
  <c r="D30" i="2"/>
  <c r="C30" i="2"/>
  <c r="D29" i="2"/>
  <c r="C29" i="2"/>
  <c r="E29" i="2" l="1"/>
  <c r="E30" i="2"/>
  <c r="E31" i="2"/>
  <c r="E260" i="1"/>
  <c r="E261" i="1"/>
  <c r="E284" i="1"/>
  <c r="E285" i="1"/>
  <c r="E286" i="1"/>
  <c r="E287" i="1"/>
  <c r="E288" i="1"/>
  <c r="E289" i="1"/>
  <c r="E290" i="1"/>
  <c r="E291" i="1"/>
  <c r="E283" i="1"/>
  <c r="D282" i="1"/>
  <c r="E282" i="1" s="1"/>
  <c r="D281" i="1"/>
  <c r="E281" i="1" s="1"/>
  <c r="D280" i="1"/>
  <c r="E280" i="1" s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63" i="1"/>
  <c r="E252" i="1"/>
  <c r="E253" i="1"/>
  <c r="E254" i="1"/>
  <c r="E255" i="1"/>
  <c r="E256" i="1"/>
  <c r="E257" i="1"/>
  <c r="E258" i="1"/>
  <c r="E259" i="1"/>
  <c r="E262" i="1"/>
  <c r="E251" i="1"/>
  <c r="AA47" i="1" l="1"/>
  <c r="AA45" i="1"/>
  <c r="AA46" i="1"/>
  <c r="AA44" i="1"/>
  <c r="J238" i="1"/>
  <c r="J237" i="1"/>
  <c r="J236" i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2" i="1"/>
  <c r="E202" i="1" s="1"/>
  <c r="D204" i="1"/>
  <c r="E204" i="1" s="1"/>
  <c r="D203" i="1"/>
  <c r="E203" i="1" s="1"/>
  <c r="E200" i="1"/>
  <c r="E201" i="1"/>
  <c r="E199" i="1"/>
  <c r="E169" i="1"/>
  <c r="E168" i="1"/>
  <c r="E176" i="1"/>
  <c r="E177" i="1"/>
  <c r="E178" i="1"/>
  <c r="E175" i="1"/>
  <c r="E174" i="1"/>
  <c r="E171" i="1"/>
  <c r="E172" i="1"/>
  <c r="E173" i="1"/>
  <c r="E170" i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5" i="1"/>
  <c r="Y155" i="1" s="1"/>
  <c r="X156" i="1"/>
  <c r="Y156" i="1" s="1"/>
  <c r="X154" i="1"/>
  <c r="Y154" i="1" s="1"/>
  <c r="X153" i="1"/>
  <c r="Y153" i="1" s="1"/>
  <c r="X152" i="1"/>
  <c r="Y152" i="1" s="1"/>
  <c r="X147" i="1"/>
  <c r="Y147" i="1" s="1"/>
  <c r="X148" i="1"/>
  <c r="Y148" i="1" s="1"/>
  <c r="X149" i="1"/>
  <c r="Y149" i="1" s="1"/>
  <c r="X150" i="1"/>
  <c r="Y150" i="1" s="1"/>
  <c r="X151" i="1"/>
  <c r="Y151" i="1" s="1"/>
  <c r="X146" i="1"/>
  <c r="Y146" i="1" s="1"/>
  <c r="X78" i="1"/>
  <c r="Y78" i="1" s="1"/>
  <c r="L8" i="2"/>
  <c r="L9" i="2"/>
  <c r="L10" i="2"/>
  <c r="L11" i="2"/>
  <c r="L12" i="2"/>
  <c r="L7" i="2"/>
  <c r="E142" i="1"/>
  <c r="E143" i="1"/>
  <c r="E139" i="1"/>
  <c r="E140" i="1"/>
  <c r="E141" i="1"/>
  <c r="E138" i="1"/>
  <c r="L16" i="2"/>
  <c r="L17" i="2"/>
  <c r="L18" i="2"/>
  <c r="L19" i="2"/>
  <c r="L20" i="2"/>
  <c r="L15" i="2"/>
  <c r="M8" i="2"/>
  <c r="M9" i="2"/>
  <c r="M10" i="2"/>
  <c r="M11" i="2"/>
  <c r="M12" i="2"/>
  <c r="M7" i="2"/>
  <c r="E81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79" i="1"/>
  <c r="E78" i="1"/>
  <c r="X79" i="1"/>
  <c r="Y79" i="1" s="1"/>
  <c r="E6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8" i="1"/>
  <c r="X8" i="1"/>
  <c r="X17" i="1" l="1"/>
  <c r="Y17" i="1" s="1"/>
  <c r="X16" i="1"/>
  <c r="Y16" i="1" s="1"/>
  <c r="X5" i="1"/>
  <c r="Y5" i="1" s="1"/>
  <c r="X6" i="1"/>
  <c r="Y6" i="1" s="1"/>
  <c r="X7" i="1"/>
  <c r="Y7" i="1" s="1"/>
  <c r="Y8" i="1"/>
  <c r="X9" i="1"/>
  <c r="Y9" i="1" s="1"/>
  <c r="X10" i="1"/>
  <c r="Y10" i="1" s="1"/>
  <c r="X11" i="1"/>
  <c r="Y11" i="1" s="1"/>
  <c r="X12" i="1"/>
  <c r="Y12" i="1" s="1"/>
  <c r="X4" i="1"/>
  <c r="Y4" i="1" s="1"/>
</calcChain>
</file>

<file path=xl/sharedStrings.xml><?xml version="1.0" encoding="utf-8"?>
<sst xmlns="http://schemas.openxmlformats.org/spreadsheetml/2006/main" count="1402" uniqueCount="222">
  <si>
    <t>Source</t>
  </si>
  <si>
    <t>Temperature</t>
  </si>
  <si>
    <t>Number_of_Larvae</t>
  </si>
  <si>
    <t>Total_Food</t>
  </si>
  <si>
    <t>Density</t>
  </si>
  <si>
    <t>E_Dur</t>
  </si>
  <si>
    <t>ED_SE</t>
  </si>
  <si>
    <t>L_Dur</t>
  </si>
  <si>
    <t>LD_SE</t>
  </si>
  <si>
    <t>P_Dur</t>
  </si>
  <si>
    <t>PD_SE</t>
  </si>
  <si>
    <t>T_Dur</t>
  </si>
  <si>
    <t>TD_SE</t>
  </si>
  <si>
    <t>E_Surv</t>
  </si>
  <si>
    <t>ES_SE</t>
  </si>
  <si>
    <t>L_Surv</t>
  </si>
  <si>
    <t>LS_SE</t>
  </si>
  <si>
    <t>P_Surv</t>
  </si>
  <si>
    <t>PS_SE</t>
  </si>
  <si>
    <t>T_Surv</t>
  </si>
  <si>
    <t>TS_SE</t>
  </si>
  <si>
    <t>Body_mass</t>
  </si>
  <si>
    <t>B_M_SE</t>
  </si>
  <si>
    <t>Wing_Length</t>
  </si>
  <si>
    <t>WL_SE</t>
  </si>
  <si>
    <t>AT_50</t>
  </si>
  <si>
    <t>A_Numb</t>
  </si>
  <si>
    <t>AT_SE</t>
  </si>
  <si>
    <t>Region</t>
  </si>
  <si>
    <t>Year</t>
  </si>
  <si>
    <t>Food_Type</t>
  </si>
  <si>
    <t>N/A</t>
  </si>
  <si>
    <t>America</t>
  </si>
  <si>
    <t>yeast</t>
  </si>
  <si>
    <t>tetramin</t>
  </si>
  <si>
    <t>Asia</t>
  </si>
  <si>
    <t>liver</t>
  </si>
  <si>
    <t>Farjana (2012)</t>
  </si>
  <si>
    <t xml:space="preserve">America </t>
  </si>
  <si>
    <t>shrimp</t>
  </si>
  <si>
    <t>Europe</t>
  </si>
  <si>
    <t>Yoshioka et al. (2012)</t>
  </si>
  <si>
    <t>crickets</t>
  </si>
  <si>
    <t>Mori (1979)</t>
  </si>
  <si>
    <t>mouse_pellet</t>
  </si>
  <si>
    <t>Westbrook (Thesis)</t>
  </si>
  <si>
    <t>Boundary</t>
  </si>
  <si>
    <t>Mamai</t>
  </si>
  <si>
    <t>bsf</t>
  </si>
  <si>
    <t>Wiwtanaratanabutr</t>
  </si>
  <si>
    <t>Sultana and Tuno (2022)</t>
  </si>
  <si>
    <t>Giatropoulos et al. (2022)</t>
  </si>
  <si>
    <t>Sultana et al. (2021)</t>
  </si>
  <si>
    <t>leaves</t>
  </si>
  <si>
    <t>Sultana et al. (2021B)</t>
  </si>
  <si>
    <t>Lima-Camara et al. (2022)</t>
  </si>
  <si>
    <t>SA</t>
  </si>
  <si>
    <t>Giatropoulos et al. (2022B)</t>
  </si>
  <si>
    <t>Li et al. (2021C)</t>
  </si>
  <si>
    <t>Sauers et al. (2022)</t>
  </si>
  <si>
    <t>Bara et al. (2015)</t>
  </si>
  <si>
    <t>Ezeakacha and Yee (2019)</t>
  </si>
  <si>
    <t>Westbrook et al. (2010)</t>
  </si>
  <si>
    <t>Briegel and Timmerman (2001)</t>
  </si>
  <si>
    <t>Jong et al. (2016)</t>
  </si>
  <si>
    <t>Delatte et al. (2009)</t>
  </si>
  <si>
    <t>Muturi et al. (2011)</t>
  </si>
  <si>
    <t>Costanzo et al. (2015)</t>
  </si>
  <si>
    <t>Black IV et al. (1989)</t>
  </si>
  <si>
    <t>Bara et al. (2014)</t>
  </si>
  <si>
    <t>Armbruster and Conn (2006)</t>
  </si>
  <si>
    <t>Puggiolio et al. (2017)</t>
  </si>
  <si>
    <t>Alam and Tuno (2020)</t>
  </si>
  <si>
    <t>Garzon et al. (2021)</t>
  </si>
  <si>
    <t>Marini et al. (2020)</t>
  </si>
  <si>
    <t>Muturi et al. (2011) 2</t>
  </si>
  <si>
    <t>Kamimura et al. (2002)</t>
  </si>
  <si>
    <t>Moneteiro et al. (2007)</t>
  </si>
  <si>
    <t>Riback et al. (2015)</t>
  </si>
  <si>
    <t>Zhang et al. (2015)</t>
  </si>
  <si>
    <t>Calado et al. (2002)</t>
  </si>
  <si>
    <t>Reiskind and Zarrabi (2012)</t>
  </si>
  <si>
    <t>Reiskind and Lounibos (2009)</t>
  </si>
  <si>
    <t>Maamor et al. (2019)</t>
  </si>
  <si>
    <t>Shahrudin et al. (2019)</t>
  </si>
  <si>
    <t>Calvitti et al. (2010)</t>
  </si>
  <si>
    <t>Blagrove et al. (2013)</t>
  </si>
  <si>
    <t>Stephens and Juliano (2012)</t>
  </si>
  <si>
    <t>Yadav et al. (2017)</t>
  </si>
  <si>
    <t>Yee et al. (2017)</t>
  </si>
  <si>
    <t>Allgood and Yee (2014)</t>
  </si>
  <si>
    <t>Yee et al. (2012)</t>
  </si>
  <si>
    <t>Alto et al. (2005) 2</t>
  </si>
  <si>
    <t>Alto et al. (2015)</t>
  </si>
  <si>
    <t>Alto et al. (2008)</t>
  </si>
  <si>
    <t>Link</t>
  </si>
  <si>
    <t>https://journals.plos.org/plosone/article?id=10.1371/journal.pone.0126703</t>
  </si>
  <si>
    <t>https://parasitesandvectors.biomedcentral.com/articles/10.1186/s13071-019-3391-1#:~:text=Temperature%20appears%20to%20affect%20life,life%2Dhistory%20stages%20of%20Ae.</t>
  </si>
  <si>
    <t>https://www.ncbi.nlm.nih.gov/pmc/articles/PMC2883477/</t>
  </si>
  <si>
    <t>https://pubmed.ncbi.nlm.nih.gov/26336301/</t>
  </si>
  <si>
    <t>https://pubmed.ncbi.nlm.nih.gov/18077250/</t>
  </si>
  <si>
    <t>https://pubmed.ncbi.nlm.nih.gov/11476337/</t>
  </si>
  <si>
    <t>https://onlinelibrary.wiley.com/doi/10.1111/jvec.12244</t>
  </si>
  <si>
    <t>https://onlinelibrary.wiley.com/doi/10.1111/jvec.12245</t>
  </si>
  <si>
    <t>https://onlinelibrary.wiley.com/doi/10.1111/jvec.12246</t>
  </si>
  <si>
    <t>https://onlinelibrary.wiley.com/doi/10.1111/jvec.12247</t>
  </si>
  <si>
    <t>https://onlinelibrary.wiley.com/doi/10.1111/jvec.12248</t>
  </si>
  <si>
    <t>https://resjournals.onlinelibrary.wiley.com/doi/10.1111/j.1365-2915.2011.00971.x</t>
  </si>
  <si>
    <t>https://academic.oup.com/jme/article/46/1/33/902827?login=true</t>
  </si>
  <si>
    <t>https://pubmed.ncbi.nlm.nih.gov/21485359/</t>
  </si>
  <si>
    <t>https://onlinelibrary.wiley.com/doi/10.1111/jvec.12146</t>
  </si>
  <si>
    <t>https://watermark.silverchair.com/ee32-1313.pdf?token=AQECAHi208BE49Ooan9kkhW_Ercy7Dm3ZL_9Cf3qfKAc485ysgAAAu0wggLpBgkqhkiG9w0BBwagggLaMIIC1gIBADCCAs8GCSqGSIb3DQEHATAeBglghkgBZQMEAS4wEQQMDjtNPQgmaZyGbMxPAgEQgIICoL0ZcwxkNpnpYLPbJSCXUzR818Y29g37RshBESAscpnru14aeT0YOP_-XP5KNt_lc9uk0Bx574fWjfSPxbf3tS11LE491CCWnOICDQdJJBc30JOczOotuzH9CRsj9dAbjnblvgblrtzqEIc8PAWTxtpyUV5mnXDYlFdYsnhUDMftIbMbaJgngR4h2d-Wt73Yd6VmhxSS8pLzlQFAR1s3sOWbULv8jorU6zJpshxqLtIcBn35A5AsKQCvpBISwvaeNfxlGWiM-rQd3TrSGFHMn9WeDG9-uvqa8_AyDt4KOrj51gYeJMfiDfoYzJhPTgCLWmWtN9Abjcl_vbFD-T0wSdlhnNg0H33Hmv6YN9sWTB9Z7fI60F6MbwXRy8AD_z6zLasoUTWo-EUILM9FFLZgX6ngILPadpjNn9E6VtbmCprO1co07o20gBzwoowoVf68ffz9O4kNVk9ijHYgSRju327CVKh-oQIqm9zBhGCsgMcoLVRSMjCVV0GSDbrIYQRwfU7cXcvIYnpETTalAHagwjO3R2mMOAPncnbeGm0eVq2wfZYAtKy2LmY8KuZbvDFaRFt81kVyulTxC3Wj6J7MAthZEqNZy_tvFtKuv7NExMkFuNFr_cWjF5zvyEJbYSIejRSk41YXFMkXYbkRT9OyIL1YKZoOKGAX_PsOThQrqhBevx6XtJpS3wK1SR6Q8XCXvm9urAI1nj709K7lIzzPFWke7yV86pFJAznax43bs8TLIZebBgyLlIObop_2gp7YxbT1eg4MIhh2vySklfsklabNCvCKLS9B28sGolwt76lhuEdEt2pxGXLCk_uxodpaL0WOT4ediOP2sq3BHw26P8uiiUIP5-qRmAHmHGXntTZsdQLaJ3cDUOQgPT8FEEjJbA</t>
  </si>
  <si>
    <t>https://link.springer.com/article/10.1007/s00436-014-3949-y</t>
  </si>
  <si>
    <t>https://academic.oup.com/jme/article/49/4/825/880265?login=true</t>
  </si>
  <si>
    <t>https://academic.oup.com/aesa/article/99/6/1234/2759345</t>
  </si>
  <si>
    <t>https://academic.oup.com/aesa/article/99/6/1234/2759346</t>
  </si>
  <si>
    <t>https://academic.oup.com/aesa/article/99/6/1234/2759347</t>
  </si>
  <si>
    <t>https://academic.oup.com/aesa/article/99/6/1234/2759348</t>
  </si>
  <si>
    <t>https://academic.oup.com/aesa/article/99/6/1234/2759349</t>
  </si>
  <si>
    <t>https://academic.oup.com/aesa/article/99/6/1234/2759350</t>
  </si>
  <si>
    <t>https://academic.oup.com/aesa/article/99/6/1234/2759351</t>
  </si>
  <si>
    <t>https://academic.oup.com/aesa/article/99/6/1234/2759352</t>
  </si>
  <si>
    <t>https://academic.oup.com/aesa/article/99/6/1234/2759353</t>
  </si>
  <si>
    <t>https://academic.oup.com/aesa/article/99/6/1234/2759354</t>
  </si>
  <si>
    <t>https://academic.oup.com/aesa/article/99/6/1234/2759355</t>
  </si>
  <si>
    <t>https://academic.oup.com/aesa/article/99/6/1234/2759356</t>
  </si>
  <si>
    <t>https://academic.oup.com/aesa/article/99/6/1234/2759357</t>
  </si>
  <si>
    <t>https://academic.oup.com/aesa/article/99/6/1234/2759358</t>
  </si>
  <si>
    <t>https://academic.oup.com/aesa/article/99/6/1234/2759359</t>
  </si>
  <si>
    <t>https://academic.oup.com/aesa/article/99/6/1234/2759360</t>
  </si>
  <si>
    <t>https://academic.oup.com/aesa/article/99/6/1234/2759361</t>
  </si>
  <si>
    <t>https://academic.oup.com/aesa/article/99/6/1234/2759362</t>
  </si>
  <si>
    <t>https://academic.oup.com/jme/article/54/1/142/2952685?login=true</t>
  </si>
  <si>
    <t>https://parasitesandvectors.biomedcentral.com/articles/10.1186/1756-3305-5-225</t>
  </si>
  <si>
    <t>https://parasitesandvectors.biomedcentral.com/articles/10.1186/1756-3305-5-226</t>
  </si>
  <si>
    <t>https://parasitesandvectors.biomedcentral.com/articles/10.1186/1756-3305-5-227</t>
  </si>
  <si>
    <t>https://parasitesandvectors.biomedcentral.com/articles/10.1186/1756-3305-5-228</t>
  </si>
  <si>
    <t>https://parasitesandvectors.biomedcentral.com/articles/10.1186/1756-3305-5-229</t>
  </si>
  <si>
    <t>https://parasitesandvectors.biomedcentral.com/articles/10.1186/1756-3305-5-230</t>
  </si>
  <si>
    <t>https://parasitesandvectors.biomedcentral.com/articles/10.1186/1756-3305-5-231</t>
  </si>
  <si>
    <t>https://parasitesandvectors.biomedcentral.com/articles/10.1186/1756-3305-5-232</t>
  </si>
  <si>
    <t>https://parasitesandvectors.biomedcentral.com/articles/10.1186/1756-3305-5-233</t>
  </si>
  <si>
    <t>https://parasitesandvectors.biomedcentral.com/articles/10.1186/1756-3305-5-234</t>
  </si>
  <si>
    <t>https://parasitesandvectors.biomedcentral.com/articles/10.1186/1756-3305-5-235</t>
  </si>
  <si>
    <t>https://parasitesandvectors.biomedcentral.com/articles/10.1186/1756-3305-5-236</t>
  </si>
  <si>
    <t>https://parasitesandvectors.biomedcentral.com/articles/10.1186/1756-3305-5-237</t>
  </si>
  <si>
    <t>https://parasitesandvectors.biomedcentral.com/articles/10.1186/1756-3305-5-238</t>
  </si>
  <si>
    <t>https://parasitesandvectors.biomedcentral.com/articles/10.1186/1756-3305-5-239</t>
  </si>
  <si>
    <t>https://www.researchgate.net/publication/340165373_A_study_comparing_the_growth_rates_of_two_related_species_Aedes_albopictus_and_Aedes_flavopictus_Diptera_Culicidae_at_different_temperature_regimes</t>
  </si>
  <si>
    <t>https://www.x-mol.net/paper/article/1297322267351683072</t>
  </si>
  <si>
    <t>https://www.mdpi.com/2075-4450/11/11/808</t>
  </si>
  <si>
    <t>https://www.mdpi.com/2075-4450/11/11/809</t>
  </si>
  <si>
    <t>https://www.mdpi.com/2075-4450/11/11/810</t>
  </si>
  <si>
    <t>https://www.mdpi.com/2075-4450/11/11/811</t>
  </si>
  <si>
    <t>Buckner et al. (2016)</t>
  </si>
  <si>
    <t>https://www.ncbi.nlm.nih.gov/pmc/articles/PMC5007597/</t>
  </si>
  <si>
    <t>https://academic.oup.com/jme/article/48/2/429/894627</t>
  </si>
  <si>
    <t>https://academic.oup.com/jme/article/48/2/429/894628</t>
  </si>
  <si>
    <t>https://link.springer.com/article/10.1007/s10340-021-01340-z</t>
  </si>
  <si>
    <t>https://pubmed.ncbi.nlm.nih.gov/24444185/</t>
  </si>
  <si>
    <t>https://onlinelibrary.wiley.com/doi/full/10.1111/oik.03635</t>
  </si>
  <si>
    <t>https://onlinelibrary.wiley.com/doi/full/10.1111/oik.03636</t>
  </si>
  <si>
    <t>https://onlinelibrary.wiley.com/doi/full/10.1111/oik.03637</t>
  </si>
  <si>
    <t>https://onlinelibrary.wiley.com/doi/full/10.1111/oik.03638</t>
  </si>
  <si>
    <t>https://onlinelibrary.wiley.com/doi/full/10.1111/oik.03639</t>
  </si>
  <si>
    <t>https://onlinelibrary.wiley.com/doi/full/10.1111/oik.03640</t>
  </si>
  <si>
    <t>https://onlinelibrary.wiley.com/doi/full/10.1111/oik.03641</t>
  </si>
  <si>
    <t>https://onlinelibrary.wiley.com/doi/full/10.1111/oik.03642</t>
  </si>
  <si>
    <t>https://onlinelibrary.wiley.com/doi/full/10.1111/oik.03643</t>
  </si>
  <si>
    <t>https://onlinelibrary.wiley.com/doi/full/10.1111/oik.03644</t>
  </si>
  <si>
    <t>https://onlinelibrary.wiley.com/doi/full/10.1111/oik.03645</t>
  </si>
  <si>
    <t>https://onlinelibrary.wiley.com/doi/full/10.1111/oik.03646</t>
  </si>
  <si>
    <t>https://onlinelibrary.wiley.com/doi/full/10.1111/oik.03647</t>
  </si>
  <si>
    <t>https://onlinelibrary.wiley.com/doi/full/10.1111/oik.03648</t>
  </si>
  <si>
    <t>https://onlinelibrary.wiley.com/doi/full/10.1111/oik.03649</t>
  </si>
  <si>
    <t>https://onlinelibrary.wiley.com/doi/full/10.1111/oik.03650</t>
  </si>
  <si>
    <t>https://www.jstor.org/stable/3496628</t>
  </si>
  <si>
    <t>https://www.arcjournals.org/international-journal-of-research-studies-in-zoology/volume-3-issue-3/1</t>
  </si>
  <si>
    <t>https://www.arcjournals.org/international-journal-of-research-studies-in-zoology/volume-3-issue-3/2</t>
  </si>
  <si>
    <t>https://www.arcjournals.org/international-journal-of-research-studies-in-zoology/volume-3-issue-3/3</t>
  </si>
  <si>
    <t>https://www.arcjournals.org/international-journal-of-research-studies-in-zoology/volume-3-issue-3/4</t>
  </si>
  <si>
    <t>https://www.arcjournals.org/international-journal-of-research-studies-in-zoology/volume-3-issue-3/5</t>
  </si>
  <si>
    <t>https://www.ncbi.nlm.nih.gov/pmc/articles/PMC3422778/</t>
  </si>
  <si>
    <t>https://pubmed.ncbi.nlm.nih.gov/23556030/</t>
  </si>
  <si>
    <t>https://academic.oup.com/jme/article-lookup/doi/10.1603/me09140</t>
  </si>
  <si>
    <t>https://academic.oup.com/jme/article-lookup/doi/10.1603/me09141</t>
  </si>
  <si>
    <t>https://academic.oup.com/jme/article-lookup/doi/10.1603/me09142</t>
  </si>
  <si>
    <t>https://medic.upm.edu.my/upload/dokumen/2019121207375315_MJMHS_0287.pdf</t>
  </si>
  <si>
    <t>https://www.researchgate.net/publication/336737567_Effect_of_Diet_Regime_on_the_Development_and_Survival_of_Aedes_albopictus_Skuse_Diptera_Culicidae</t>
  </si>
  <si>
    <t>https://www.ncbi.nlm.nih.gov/pmc/articles/PMC2651082/</t>
  </si>
  <si>
    <t>https://www.scielo.br/j/rsp/a/dvPQ8QMr7Y687hPJxsTxjDg/?lang=pt</t>
  </si>
  <si>
    <t>https://www.ncbi.nlm.nih.gov/pmc/articles/PMC4388707/</t>
  </si>
  <si>
    <t>https://journals.plos.org/plosone/article?id=10.1371/journal.pone.0134450</t>
  </si>
  <si>
    <t>https://journals.plos.org/plosone/article?id=10.1371/journal.pone.0134451</t>
  </si>
  <si>
    <t>https://journals.plos.org/plosone/article?id=10.1371/journal.pone.0134452</t>
  </si>
  <si>
    <t>https://journals.plos.org/plosone/article?id=10.1371/journal.pone.0134453</t>
  </si>
  <si>
    <t>https://journals.plos.org/plosone/article?id=10.1371/journal.pone.0134454</t>
  </si>
  <si>
    <t>https://journals.plos.org/plosone/article?id=10.1371/journal.pone.0134455</t>
  </si>
  <si>
    <t>https://journals.plos.org/plosone/article?id=10.1371/journal.pone.0134456</t>
  </si>
  <si>
    <t>https://journals.plos.org/plosone/article?id=10.1371/journal.pone.0134457</t>
  </si>
  <si>
    <t>https://journals.plos.org/plosone/article?id=10.1371/journal.pone.0134458</t>
  </si>
  <si>
    <t>https://journals.plos.org/plosone/article?id=10.1371/journal.pone.0134459</t>
  </si>
  <si>
    <t>https://journals.plos.org/plosone/article?id=10.1371/journal.pone.0134460</t>
  </si>
  <si>
    <t>https://journals.plos.org/plosone/article?id=10.1371/journal.pone.0134461</t>
  </si>
  <si>
    <t>https://www.cabdirect.org/cabdirect/abstract/19812901891</t>
  </si>
  <si>
    <t>https://www.proquest.com/openview/a26a089334286abf56e9a5062e12a95b/1?pq-origsite=gscholar&amp;cbl=18750</t>
  </si>
  <si>
    <t>https://www.proquest.com/openview/a26a089334286abf56e9a5062e12a95b/1?pq-origsite=gscholar&amp;cbl=18751</t>
  </si>
  <si>
    <t>https://www.proquest.com/openview/a26a089334286abf56e9a5062e12a95b/1?pq-origsite=gscholar&amp;cbl=18752</t>
  </si>
  <si>
    <t>https://pubmed.ncbi.nlm.nih.gov/18246274/</t>
  </si>
  <si>
    <t>https://www.jstage.jst.go.jp/article/mez/53/1/53_KJ00000825540/_article/-char/ja/</t>
  </si>
  <si>
    <t>https://www.jstage.jst.go.jp/article/mez/73/3/73_2115/_article/-char/ja/</t>
  </si>
  <si>
    <t>Russell and Cator (2022)</t>
  </si>
  <si>
    <t>https://pubmed.ncbi.nlm.nih.gov/35206728/</t>
  </si>
  <si>
    <t>https://www.jstage.jst.go.jp/article/mez/72/3/72_2047/_article/-char/ja/</t>
  </si>
  <si>
    <t>https://www.sciencedirect.com/science/article/pii/S0001706X22000870</t>
  </si>
  <si>
    <t>https://www.sciencedirect.com/science/article/pii/S0001706X22000871</t>
  </si>
  <si>
    <t>Deng et al. (2021)</t>
  </si>
  <si>
    <t>https://pubmed.ncbi.nlm.nih.gov/33905415/</t>
  </si>
  <si>
    <t>https://pubmed.ncbi.nlm.nih.gov/32761846/</t>
  </si>
  <si>
    <t>https://www.sciencedirect.com/science/article/pii/S0001706X22001280?via%3Dihub</t>
  </si>
  <si>
    <t>https://pubmed.ncbi.nlm.nih.gov/36191614/</t>
  </si>
  <si>
    <t>https://www.nature.com/articles/s41598-022-11909-y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</si>
</sst>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356"/>
  <sheetViews>
    <sheetView tabSelected="1" zoomScale="90" zoomScaleNormal="90" workbookViewId="0">
      <pane ySplit="1" topLeftCell="A75" activePane="bottomLeft" state="frozen"/>
      <selection pane="bottomLeft" activeCell="J364" sqref="J364"/>
    </sheetView>
  </sheetViews>
  <sheetFormatPr defaultRowHeight="15" x14ac:dyDescent="0.25"/>
  <cols>
    <col min="1" max="1" width="12.140625" customWidth="1"/>
    <col min="2" max="2" width="9.42578125" style="1" customWidth="1"/>
    <col min="3" max="3" width="11" style="1" customWidth="1"/>
    <col min="4" max="4" width="11.42578125" style="1" customWidth="1"/>
    <col min="5" max="5" width="11.7109375" style="1" bestFit="1" customWidth="1"/>
    <col min="6" max="6" width="9.140625" style="1" customWidth="1"/>
    <col min="7" max="7" width="9.140625" style="1"/>
    <col min="8" max="8" width="9.7109375" style="1" customWidth="1"/>
    <col min="9" max="9" width="9.140625" style="1"/>
    <col min="10" max="10" width="9.42578125" style="1" customWidth="1"/>
    <col min="11" max="11" width="10.5703125" style="1" customWidth="1"/>
    <col min="12" max="24" width="9.140625" style="1"/>
    <col min="25" max="25" width="8.5703125" style="1" customWidth="1"/>
    <col min="26" max="26" width="9.140625" style="1"/>
    <col min="27" max="27" width="20" customWidth="1"/>
    <col min="28" max="28" width="9.140625" style="1"/>
  </cols>
  <sheetData>
    <row r="1" spans="1:32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s="1" t="s">
        <v>95</v>
      </c>
    </row>
    <row r="2" spans="1:32" hidden="1" x14ac:dyDescent="0.25">
      <c r="A2" s="4" t="s">
        <v>60</v>
      </c>
      <c r="B2" s="1">
        <v>25</v>
      </c>
      <c r="C2" s="1">
        <v>300</v>
      </c>
      <c r="D2" s="1">
        <v>300</v>
      </c>
      <c r="L2" s="1">
        <v>14.63</v>
      </c>
      <c r="M2" s="1">
        <v>0.32</v>
      </c>
      <c r="V2" s="1" t="s">
        <v>31</v>
      </c>
      <c r="W2" s="1" t="s">
        <v>31</v>
      </c>
      <c r="X2" s="1">
        <v>2.16</v>
      </c>
      <c r="Y2" s="1">
        <v>2.7E-2</v>
      </c>
      <c r="AC2" t="s">
        <v>32</v>
      </c>
      <c r="AD2">
        <v>2014</v>
      </c>
      <c r="AE2" t="s">
        <v>33</v>
      </c>
      <c r="AF2" t="s">
        <v>96</v>
      </c>
    </row>
    <row r="3" spans="1:32" hidden="1" x14ac:dyDescent="0.25">
      <c r="A3" s="4" t="s">
        <v>60</v>
      </c>
      <c r="B3" s="1">
        <v>25</v>
      </c>
      <c r="C3" s="1">
        <v>150</v>
      </c>
      <c r="D3" s="1">
        <v>300</v>
      </c>
      <c r="L3" s="1">
        <v>12.4</v>
      </c>
      <c r="M3" s="1">
        <v>0.26</v>
      </c>
      <c r="V3" s="1" t="s">
        <v>31</v>
      </c>
      <c r="W3" s="1" t="s">
        <v>31</v>
      </c>
      <c r="X3" s="1">
        <v>2.44</v>
      </c>
      <c r="Y3" s="1">
        <v>2.8000000000000001E-2</v>
      </c>
      <c r="AC3" t="s">
        <v>32</v>
      </c>
      <c r="AD3">
        <v>2014</v>
      </c>
      <c r="AE3" t="s">
        <v>33</v>
      </c>
      <c r="AF3" t="s">
        <v>96</v>
      </c>
    </row>
    <row r="4" spans="1:32" hidden="1" x14ac:dyDescent="0.25">
      <c r="A4" s="4" t="s">
        <v>61</v>
      </c>
      <c r="B4" s="1">
        <v>27</v>
      </c>
      <c r="C4" s="1">
        <v>10</v>
      </c>
      <c r="D4" s="1">
        <v>50</v>
      </c>
      <c r="L4" s="1">
        <v>8.3699999999999992</v>
      </c>
      <c r="M4" s="1">
        <v>0.08</v>
      </c>
      <c r="V4" s="1">
        <v>0.56100000000000005</v>
      </c>
      <c r="W4" s="1">
        <v>2.1000000000000001E-2</v>
      </c>
      <c r="X4" s="1">
        <f t="shared" ref="X4:X12" si="0">1.8 + 1.96 *V4</f>
        <v>2.8995600000000001</v>
      </c>
      <c r="Y4" s="1">
        <f t="shared" ref="Y4:Y12" si="1">1.8 + 1.96 *(W4 +V4) - X4</f>
        <v>4.1160000000000085E-2</v>
      </c>
      <c r="AC4" t="s">
        <v>32</v>
      </c>
      <c r="AD4">
        <v>2019</v>
      </c>
      <c r="AE4" t="s">
        <v>33</v>
      </c>
      <c r="AF4" t="s">
        <v>97</v>
      </c>
    </row>
    <row r="5" spans="1:32" hidden="1" x14ac:dyDescent="0.25">
      <c r="A5" s="4" t="s">
        <v>61</v>
      </c>
      <c r="B5" s="1">
        <v>27</v>
      </c>
      <c r="C5" s="1">
        <v>20</v>
      </c>
      <c r="D5" s="1">
        <v>50</v>
      </c>
      <c r="L5" s="1">
        <v>8.9700000000000006</v>
      </c>
      <c r="M5" s="1">
        <v>0.15</v>
      </c>
      <c r="V5" s="1">
        <v>0.435</v>
      </c>
      <c r="W5" s="1">
        <v>1.4999999999999999E-2</v>
      </c>
      <c r="X5" s="1">
        <f t="shared" si="0"/>
        <v>2.6526000000000001</v>
      </c>
      <c r="Y5" s="1">
        <f t="shared" si="1"/>
        <v>2.9399999999999871E-2</v>
      </c>
      <c r="AC5" t="s">
        <v>32</v>
      </c>
      <c r="AD5">
        <v>2019</v>
      </c>
      <c r="AE5" t="s">
        <v>33</v>
      </c>
      <c r="AF5" t="s">
        <v>97</v>
      </c>
    </row>
    <row r="6" spans="1:32" hidden="1" x14ac:dyDescent="0.25">
      <c r="A6" s="4" t="s">
        <v>61</v>
      </c>
      <c r="B6" s="1">
        <v>27</v>
      </c>
      <c r="C6" s="1">
        <v>40</v>
      </c>
      <c r="D6" s="1">
        <v>50</v>
      </c>
      <c r="L6" s="1">
        <v>10.51</v>
      </c>
      <c r="M6" s="1">
        <v>0.04</v>
      </c>
      <c r="V6" s="1">
        <v>0.33800000000000002</v>
      </c>
      <c r="W6" s="1">
        <v>0.01</v>
      </c>
      <c r="X6" s="1">
        <f t="shared" si="0"/>
        <v>2.4624800000000002</v>
      </c>
      <c r="Y6" s="1">
        <f t="shared" si="1"/>
        <v>1.9599999999999618E-2</v>
      </c>
      <c r="AC6" t="s">
        <v>32</v>
      </c>
      <c r="AD6">
        <v>2019</v>
      </c>
      <c r="AE6" t="s">
        <v>33</v>
      </c>
      <c r="AF6" t="s">
        <v>97</v>
      </c>
    </row>
    <row r="7" spans="1:32" hidden="1" x14ac:dyDescent="0.25">
      <c r="A7" s="4" t="s">
        <v>61</v>
      </c>
      <c r="B7" s="1">
        <v>34</v>
      </c>
      <c r="C7" s="1">
        <v>10</v>
      </c>
      <c r="D7" s="1">
        <v>50</v>
      </c>
      <c r="L7" s="1">
        <v>9.91</v>
      </c>
      <c r="M7" s="1">
        <v>0.24</v>
      </c>
      <c r="V7" s="1">
        <v>0.42299999999999999</v>
      </c>
      <c r="W7" s="1">
        <v>1.2E-2</v>
      </c>
      <c r="X7" s="1">
        <f t="shared" si="0"/>
        <v>2.6290800000000001</v>
      </c>
      <c r="Y7" s="1">
        <f t="shared" si="1"/>
        <v>2.3519999999999985E-2</v>
      </c>
      <c r="AC7" t="s">
        <v>32</v>
      </c>
      <c r="AD7">
        <v>2019</v>
      </c>
      <c r="AE7" t="s">
        <v>33</v>
      </c>
      <c r="AF7" t="s">
        <v>97</v>
      </c>
    </row>
    <row r="8" spans="1:32" hidden="1" x14ac:dyDescent="0.25">
      <c r="A8" s="4" t="s">
        <v>61</v>
      </c>
      <c r="B8" s="1">
        <v>34</v>
      </c>
      <c r="C8" s="1">
        <v>20</v>
      </c>
      <c r="D8" s="1">
        <v>50</v>
      </c>
      <c r="L8" s="1">
        <v>10.54</v>
      </c>
      <c r="M8" s="1">
        <v>0.13</v>
      </c>
      <c r="V8" s="1">
        <v>0.36599999999999999</v>
      </c>
      <c r="W8" s="1">
        <v>1.7000000000000001E-2</v>
      </c>
      <c r="X8" s="1">
        <f t="shared" si="0"/>
        <v>2.51736</v>
      </c>
      <c r="Y8" s="1">
        <f t="shared" si="1"/>
        <v>3.3319999999999794E-2</v>
      </c>
      <c r="AC8" t="s">
        <v>32</v>
      </c>
      <c r="AD8">
        <v>2019</v>
      </c>
      <c r="AE8" t="s">
        <v>33</v>
      </c>
      <c r="AF8" t="s">
        <v>97</v>
      </c>
    </row>
    <row r="9" spans="1:32" hidden="1" x14ac:dyDescent="0.25">
      <c r="A9" s="4" t="s">
        <v>61</v>
      </c>
      <c r="B9" s="1">
        <v>34</v>
      </c>
      <c r="C9" s="1">
        <v>40</v>
      </c>
      <c r="D9" s="1">
        <v>50</v>
      </c>
      <c r="L9" s="1">
        <v>11.93</v>
      </c>
      <c r="M9" s="1">
        <v>0.3</v>
      </c>
      <c r="V9" s="1">
        <v>0.26100000000000001</v>
      </c>
      <c r="W9" s="1">
        <v>7.0000000000000001E-3</v>
      </c>
      <c r="X9" s="1">
        <f t="shared" si="0"/>
        <v>2.3115600000000001</v>
      </c>
      <c r="Y9" s="1">
        <f t="shared" si="1"/>
        <v>1.3720000000000176E-2</v>
      </c>
      <c r="AC9" t="s">
        <v>32</v>
      </c>
      <c r="AD9">
        <v>2019</v>
      </c>
      <c r="AE9" t="s">
        <v>33</v>
      </c>
      <c r="AF9" t="s">
        <v>97</v>
      </c>
    </row>
    <row r="10" spans="1:32" hidden="1" x14ac:dyDescent="0.25">
      <c r="A10" s="4" t="s">
        <v>61</v>
      </c>
      <c r="B10" s="1">
        <v>20</v>
      </c>
      <c r="C10" s="1">
        <v>10</v>
      </c>
      <c r="D10" s="1">
        <v>70</v>
      </c>
      <c r="L10" s="1">
        <v>16</v>
      </c>
      <c r="M10" s="1">
        <v>0.45</v>
      </c>
      <c r="V10" s="1">
        <v>0.54400000000000004</v>
      </c>
      <c r="W10" s="1">
        <v>0.03</v>
      </c>
      <c r="X10" s="1">
        <f t="shared" si="0"/>
        <v>2.8662400000000003</v>
      </c>
      <c r="Y10" s="1">
        <f t="shared" si="1"/>
        <v>5.8799999999999741E-2</v>
      </c>
      <c r="AC10" t="s">
        <v>32</v>
      </c>
      <c r="AD10">
        <v>2019</v>
      </c>
      <c r="AE10" t="s">
        <v>33</v>
      </c>
      <c r="AF10" t="s">
        <v>97</v>
      </c>
    </row>
    <row r="11" spans="1:32" hidden="1" x14ac:dyDescent="0.25">
      <c r="A11" s="4" t="s">
        <v>61</v>
      </c>
      <c r="B11" s="1">
        <v>20</v>
      </c>
      <c r="C11" s="1">
        <v>20</v>
      </c>
      <c r="D11" s="1">
        <v>70</v>
      </c>
      <c r="L11" s="1">
        <v>16.489999999999998</v>
      </c>
      <c r="M11" s="1">
        <v>0.3</v>
      </c>
      <c r="V11" s="1">
        <v>0.46200000000000002</v>
      </c>
      <c r="W11" s="1">
        <v>0.02</v>
      </c>
      <c r="X11" s="1">
        <f t="shared" si="0"/>
        <v>2.7055199999999999</v>
      </c>
      <c r="Y11" s="1">
        <f t="shared" si="1"/>
        <v>3.9200000000000124E-2</v>
      </c>
      <c r="AC11" t="s">
        <v>32</v>
      </c>
      <c r="AD11">
        <v>2019</v>
      </c>
      <c r="AE11" t="s">
        <v>33</v>
      </c>
      <c r="AF11" t="s">
        <v>97</v>
      </c>
    </row>
    <row r="12" spans="1:32" hidden="1" x14ac:dyDescent="0.25">
      <c r="A12" s="4" t="s">
        <v>61</v>
      </c>
      <c r="B12" s="1">
        <v>20</v>
      </c>
      <c r="C12" s="1">
        <v>40</v>
      </c>
      <c r="D12" s="1">
        <v>70</v>
      </c>
      <c r="L12" s="1">
        <v>18.43</v>
      </c>
      <c r="M12" s="1">
        <v>0.42</v>
      </c>
      <c r="V12" s="1">
        <v>0.29799999999999999</v>
      </c>
      <c r="W12" s="1">
        <v>1.2E-2</v>
      </c>
      <c r="X12" s="1">
        <f t="shared" si="0"/>
        <v>2.38408</v>
      </c>
      <c r="Y12" s="1">
        <f t="shared" si="1"/>
        <v>2.3519999999999985E-2</v>
      </c>
      <c r="AC12" t="s">
        <v>32</v>
      </c>
      <c r="AD12">
        <v>2019</v>
      </c>
      <c r="AE12" t="s">
        <v>33</v>
      </c>
      <c r="AF12" t="s">
        <v>97</v>
      </c>
    </row>
    <row r="13" spans="1:32" hidden="1" x14ac:dyDescent="0.25">
      <c r="A13" s="4" t="s">
        <v>62</v>
      </c>
      <c r="B13" s="1">
        <v>18</v>
      </c>
      <c r="C13" s="1">
        <v>1</v>
      </c>
      <c r="D13" s="1">
        <v>10.5</v>
      </c>
      <c r="L13" s="1">
        <v>24.5</v>
      </c>
      <c r="M13" s="1">
        <v>1.5</v>
      </c>
      <c r="X13" s="1">
        <v>3.4</v>
      </c>
      <c r="Y13" s="1">
        <v>0.11</v>
      </c>
      <c r="AC13" t="s">
        <v>32</v>
      </c>
      <c r="AD13">
        <v>2010</v>
      </c>
      <c r="AE13" t="s">
        <v>33</v>
      </c>
      <c r="AF13" t="s">
        <v>98</v>
      </c>
    </row>
    <row r="14" spans="1:32" hidden="1" x14ac:dyDescent="0.25">
      <c r="A14" s="4" t="s">
        <v>62</v>
      </c>
      <c r="B14" s="1">
        <v>24</v>
      </c>
      <c r="C14" s="1">
        <v>1</v>
      </c>
      <c r="D14" s="1">
        <v>10.5</v>
      </c>
      <c r="L14" s="1">
        <v>11</v>
      </c>
      <c r="M14" s="1">
        <v>1</v>
      </c>
      <c r="X14" s="1">
        <v>3.14</v>
      </c>
      <c r="Y14" s="1">
        <v>0.14000000000000001</v>
      </c>
      <c r="AC14" t="s">
        <v>32</v>
      </c>
      <c r="AD14">
        <v>2010</v>
      </c>
      <c r="AE14" t="s">
        <v>33</v>
      </c>
      <c r="AF14" t="s">
        <v>98</v>
      </c>
    </row>
    <row r="15" spans="1:32" hidden="1" x14ac:dyDescent="0.25">
      <c r="A15" s="4" t="s">
        <v>62</v>
      </c>
      <c r="B15" s="1">
        <v>32</v>
      </c>
      <c r="C15" s="1">
        <v>1</v>
      </c>
      <c r="D15" s="1">
        <v>10.5</v>
      </c>
      <c r="L15" s="1">
        <v>9</v>
      </c>
      <c r="M15" s="1">
        <v>0.5</v>
      </c>
      <c r="X15" s="1">
        <v>2.91</v>
      </c>
      <c r="Y15" s="1">
        <v>0.1</v>
      </c>
      <c r="AC15" t="s">
        <v>32</v>
      </c>
      <c r="AD15">
        <v>2010</v>
      </c>
      <c r="AE15" t="s">
        <v>33</v>
      </c>
      <c r="AF15" t="s">
        <v>98</v>
      </c>
    </row>
    <row r="16" spans="1:32" hidden="1" x14ac:dyDescent="0.25">
      <c r="A16" s="4" t="s">
        <v>93</v>
      </c>
      <c r="B16" s="1">
        <v>24</v>
      </c>
      <c r="C16" s="1">
        <v>100</v>
      </c>
      <c r="D16" s="1">
        <v>30</v>
      </c>
      <c r="L16" s="1">
        <v>13.95</v>
      </c>
      <c r="M16" s="1">
        <v>1.6</v>
      </c>
      <c r="V16" s="1">
        <v>0.28000000000000003</v>
      </c>
      <c r="W16" s="1">
        <v>1.2999999999999999E-2</v>
      </c>
      <c r="X16" s="1">
        <f>1.8 + 1.96 *V16</f>
        <v>2.3488000000000002</v>
      </c>
      <c r="Y16" s="1">
        <f>1.8 + 1.96 *(W16 +V16) - X16</f>
        <v>2.5479999999999947E-2</v>
      </c>
      <c r="AC16" t="s">
        <v>32</v>
      </c>
      <c r="AD16">
        <v>2015</v>
      </c>
      <c r="AE16" t="s">
        <v>33</v>
      </c>
      <c r="AF16" t="s">
        <v>99</v>
      </c>
    </row>
    <row r="17" spans="1:32" hidden="1" x14ac:dyDescent="0.25">
      <c r="A17" s="4" t="s">
        <v>93</v>
      </c>
      <c r="B17" s="1">
        <v>24</v>
      </c>
      <c r="C17" s="1">
        <v>400</v>
      </c>
      <c r="D17" s="1">
        <v>80</v>
      </c>
      <c r="L17" s="1">
        <v>28.63</v>
      </c>
      <c r="M17" s="1">
        <v>1.7</v>
      </c>
      <c r="V17" s="1">
        <v>0.18099999999999999</v>
      </c>
      <c r="W17" s="1">
        <v>1.2999999999999999E-2</v>
      </c>
      <c r="X17" s="1">
        <f>1.8 + 1.96 *V17</f>
        <v>2.15476</v>
      </c>
      <c r="Y17" s="1">
        <f>1.8 + 1.96 *(W17 +V17) - X17</f>
        <v>2.5479999999999947E-2</v>
      </c>
      <c r="AC17" t="s">
        <v>32</v>
      </c>
      <c r="AD17">
        <v>2015</v>
      </c>
      <c r="AE17" t="s">
        <v>33</v>
      </c>
      <c r="AF17" t="s">
        <v>99</v>
      </c>
    </row>
    <row r="18" spans="1:32" hidden="1" x14ac:dyDescent="0.25">
      <c r="A18" s="4" t="s">
        <v>94</v>
      </c>
      <c r="B18" s="1">
        <v>28</v>
      </c>
      <c r="C18" s="1">
        <v>160</v>
      </c>
      <c r="D18" s="1">
        <v>500</v>
      </c>
      <c r="L18" s="1">
        <v>16.02</v>
      </c>
      <c r="M18" s="1">
        <v>0.5</v>
      </c>
      <c r="X18" s="1">
        <v>2.62</v>
      </c>
      <c r="Y18" s="1">
        <v>4.3999999999999997E-2</v>
      </c>
      <c r="AC18" t="s">
        <v>32</v>
      </c>
      <c r="AD18">
        <v>2008</v>
      </c>
      <c r="AE18" t="s">
        <v>33</v>
      </c>
      <c r="AF18" t="s">
        <v>100</v>
      </c>
    </row>
    <row r="19" spans="1:32" hidden="1" x14ac:dyDescent="0.25">
      <c r="A19" s="4" t="s">
        <v>94</v>
      </c>
      <c r="B19" s="1">
        <v>28</v>
      </c>
      <c r="C19" s="1">
        <v>320</v>
      </c>
      <c r="D19" s="1">
        <v>400</v>
      </c>
      <c r="L19" s="1">
        <v>11.55</v>
      </c>
      <c r="M19" s="1">
        <v>0.6</v>
      </c>
      <c r="X19" s="1">
        <v>2.87</v>
      </c>
      <c r="Y19" s="1">
        <v>0.03</v>
      </c>
      <c r="AC19" t="s">
        <v>32</v>
      </c>
      <c r="AD19">
        <v>2008</v>
      </c>
      <c r="AE19" t="s">
        <v>33</v>
      </c>
      <c r="AF19" t="s">
        <v>100</v>
      </c>
    </row>
    <row r="20" spans="1:32" hidden="1" x14ac:dyDescent="0.25">
      <c r="A20" s="4" t="s">
        <v>63</v>
      </c>
      <c r="B20" s="1">
        <v>12</v>
      </c>
      <c r="E20" s="1">
        <v>1</v>
      </c>
      <c r="J20" s="1">
        <v>9.3000000000000007</v>
      </c>
      <c r="K20" s="1">
        <v>2.1</v>
      </c>
      <c r="X20" s="1">
        <v>3.47</v>
      </c>
      <c r="Y20" s="1">
        <v>0.16</v>
      </c>
      <c r="AC20" t="s">
        <v>32</v>
      </c>
      <c r="AD20">
        <v>2001</v>
      </c>
      <c r="AE20" t="s">
        <v>34</v>
      </c>
      <c r="AF20" t="s">
        <v>101</v>
      </c>
    </row>
    <row r="21" spans="1:32" hidden="1" x14ac:dyDescent="0.25">
      <c r="A21" s="4" t="s">
        <v>63</v>
      </c>
      <c r="B21" s="1">
        <v>17</v>
      </c>
      <c r="E21" s="1">
        <v>1</v>
      </c>
      <c r="X21" s="1">
        <v>3.55</v>
      </c>
      <c r="Y21" s="1">
        <v>0.1</v>
      </c>
      <c r="AC21" t="s">
        <v>32</v>
      </c>
      <c r="AD21">
        <v>2001</v>
      </c>
      <c r="AE21" t="s">
        <v>34</v>
      </c>
      <c r="AF21" t="s">
        <v>101</v>
      </c>
    </row>
    <row r="22" spans="1:32" hidden="1" x14ac:dyDescent="0.25">
      <c r="A22" s="4" t="s">
        <v>63</v>
      </c>
      <c r="B22" s="1">
        <v>27</v>
      </c>
      <c r="E22" s="1">
        <v>1</v>
      </c>
      <c r="J22" s="1">
        <v>2.8</v>
      </c>
      <c r="K22" s="1">
        <v>1.2</v>
      </c>
      <c r="X22" s="1">
        <v>2.88</v>
      </c>
      <c r="Y22" s="1">
        <v>0.4</v>
      </c>
      <c r="AC22" t="s">
        <v>32</v>
      </c>
      <c r="AD22">
        <v>2001</v>
      </c>
      <c r="AE22" t="s">
        <v>34</v>
      </c>
      <c r="AF22" t="s">
        <v>101</v>
      </c>
    </row>
    <row r="23" spans="1:32" hidden="1" x14ac:dyDescent="0.25">
      <c r="A23" s="4" t="s">
        <v>63</v>
      </c>
      <c r="B23" s="1">
        <v>32</v>
      </c>
      <c r="E23" s="1">
        <v>1</v>
      </c>
      <c r="J23" s="1">
        <v>2.2999999999999998</v>
      </c>
      <c r="K23" s="1">
        <v>0.7</v>
      </c>
      <c r="X23" s="1">
        <v>2.86</v>
      </c>
      <c r="Y23" s="1">
        <v>0.35</v>
      </c>
      <c r="AC23" t="s">
        <v>32</v>
      </c>
      <c r="AD23">
        <v>2001</v>
      </c>
      <c r="AE23" t="s">
        <v>34</v>
      </c>
      <c r="AF23" t="s">
        <v>101</v>
      </c>
    </row>
    <row r="24" spans="1:32" hidden="1" x14ac:dyDescent="0.25">
      <c r="A24" s="4" t="s">
        <v>64</v>
      </c>
      <c r="B24" s="1">
        <v>25</v>
      </c>
      <c r="E24" s="1">
        <v>0.8</v>
      </c>
      <c r="J24" s="1">
        <v>2.23</v>
      </c>
      <c r="K24" s="1">
        <v>0.41</v>
      </c>
      <c r="L24" s="1">
        <v>8.2899999999999991</v>
      </c>
      <c r="M24" s="1">
        <v>0.2</v>
      </c>
      <c r="X24" s="1">
        <v>2.62</v>
      </c>
      <c r="Y24" s="1">
        <v>0.05</v>
      </c>
      <c r="AC24" t="s">
        <v>35</v>
      </c>
      <c r="AD24">
        <v>2016</v>
      </c>
      <c r="AE24" t="s">
        <v>36</v>
      </c>
      <c r="AF24" t="s">
        <v>102</v>
      </c>
    </row>
    <row r="25" spans="1:32" hidden="1" x14ac:dyDescent="0.25">
      <c r="A25" s="4" t="s">
        <v>64</v>
      </c>
      <c r="B25" s="1">
        <v>25</v>
      </c>
      <c r="E25" s="1">
        <v>0.75</v>
      </c>
      <c r="J25" s="1">
        <v>2.36</v>
      </c>
      <c r="K25" s="1">
        <v>0.05</v>
      </c>
      <c r="L25" s="1">
        <v>8.81</v>
      </c>
      <c r="M25" s="1">
        <v>0.04</v>
      </c>
      <c r="X25" s="1">
        <v>2.56</v>
      </c>
      <c r="Y25" s="1">
        <v>0.04</v>
      </c>
      <c r="AC25" t="s">
        <v>35</v>
      </c>
      <c r="AD25">
        <v>2016</v>
      </c>
      <c r="AE25" t="s">
        <v>36</v>
      </c>
      <c r="AF25" t="s">
        <v>103</v>
      </c>
    </row>
    <row r="26" spans="1:32" hidden="1" x14ac:dyDescent="0.25">
      <c r="A26" s="4" t="s">
        <v>64</v>
      </c>
      <c r="B26" s="1">
        <v>25</v>
      </c>
      <c r="E26" s="1">
        <v>0.6</v>
      </c>
      <c r="J26" s="1">
        <v>2</v>
      </c>
      <c r="K26" s="1">
        <v>0.55000000000000004</v>
      </c>
      <c r="L26" s="1">
        <v>9.11</v>
      </c>
      <c r="M26" s="1">
        <v>1.19</v>
      </c>
      <c r="P26" s="1">
        <v>0.95879999999999999</v>
      </c>
      <c r="Q26" s="1">
        <v>4.1200000000000004E-3</v>
      </c>
      <c r="X26" s="1">
        <v>2.5</v>
      </c>
      <c r="Y26" s="1">
        <v>0.04</v>
      </c>
      <c r="AC26" t="s">
        <v>35</v>
      </c>
      <c r="AD26">
        <v>2016</v>
      </c>
      <c r="AE26" t="s">
        <v>36</v>
      </c>
      <c r="AF26" t="s">
        <v>104</v>
      </c>
    </row>
    <row r="27" spans="1:32" hidden="1" x14ac:dyDescent="0.25">
      <c r="A27" s="4" t="s">
        <v>64</v>
      </c>
      <c r="B27" s="1">
        <v>25</v>
      </c>
      <c r="E27" s="1">
        <v>0.4</v>
      </c>
      <c r="J27" s="1">
        <v>2.04</v>
      </c>
      <c r="K27" s="1">
        <v>0.35</v>
      </c>
      <c r="L27" s="1">
        <v>8.83</v>
      </c>
      <c r="M27" s="1">
        <v>0.38</v>
      </c>
      <c r="P27" s="1">
        <v>0.91310000000000002</v>
      </c>
      <c r="Q27" s="1">
        <v>3.0500000000000002E-3</v>
      </c>
      <c r="X27" s="1">
        <v>2.21</v>
      </c>
      <c r="Y27" s="1">
        <v>0.08</v>
      </c>
      <c r="AC27" t="s">
        <v>35</v>
      </c>
      <c r="AD27">
        <v>2016</v>
      </c>
      <c r="AE27" t="s">
        <v>36</v>
      </c>
      <c r="AF27" t="s">
        <v>105</v>
      </c>
    </row>
    <row r="28" spans="1:32" hidden="1" x14ac:dyDescent="0.25">
      <c r="A28" s="4" t="s">
        <v>64</v>
      </c>
      <c r="B28" s="1">
        <v>25</v>
      </c>
      <c r="E28" s="1">
        <v>0.2</v>
      </c>
      <c r="J28" s="1">
        <v>1.76</v>
      </c>
      <c r="K28" s="1">
        <v>0.28999999999999998</v>
      </c>
      <c r="L28" s="1">
        <v>11.93</v>
      </c>
      <c r="M28" s="1">
        <v>0.67</v>
      </c>
      <c r="P28" s="1">
        <v>0.82099999999999995</v>
      </c>
      <c r="Q28" s="1">
        <v>9.2600000000000002E-2</v>
      </c>
      <c r="X28" s="1">
        <v>2.02</v>
      </c>
      <c r="Y28" s="1">
        <v>0.12</v>
      </c>
      <c r="AC28" t="s">
        <v>35</v>
      </c>
      <c r="AD28">
        <v>2016</v>
      </c>
      <c r="AE28" t="s">
        <v>36</v>
      </c>
      <c r="AF28" t="s">
        <v>106</v>
      </c>
    </row>
    <row r="29" spans="1:32" hidden="1" x14ac:dyDescent="0.25">
      <c r="A29" s="4" t="s">
        <v>37</v>
      </c>
      <c r="B29" s="1">
        <v>20</v>
      </c>
      <c r="C29" s="1">
        <v>20</v>
      </c>
      <c r="E29" s="1">
        <v>0.05</v>
      </c>
      <c r="L29" s="1">
        <v>23.77</v>
      </c>
      <c r="M29" s="1">
        <v>1.1000000000000001</v>
      </c>
      <c r="T29" s="1">
        <v>8.5999999999999993E-2</v>
      </c>
      <c r="U29" s="1">
        <v>2.5999999999999999E-2</v>
      </c>
      <c r="X29" s="1">
        <v>2.57</v>
      </c>
      <c r="Y29" s="1">
        <v>0.02</v>
      </c>
      <c r="AC29" t="s">
        <v>35</v>
      </c>
      <c r="AD29">
        <v>2012</v>
      </c>
      <c r="AE29" t="s">
        <v>33</v>
      </c>
      <c r="AF29" t="s">
        <v>107</v>
      </c>
    </row>
    <row r="30" spans="1:32" hidden="1" x14ac:dyDescent="0.25">
      <c r="A30" s="4" t="s">
        <v>37</v>
      </c>
      <c r="B30" s="1">
        <v>20</v>
      </c>
      <c r="C30" s="1">
        <v>20</v>
      </c>
      <c r="E30" s="1">
        <v>0.2</v>
      </c>
      <c r="L30" s="1">
        <v>16.86</v>
      </c>
      <c r="M30" s="1">
        <v>0.65</v>
      </c>
      <c r="T30" s="1">
        <v>3.2199999999999999E-2</v>
      </c>
      <c r="U30" s="1">
        <v>1.7999999999999999E-2</v>
      </c>
      <c r="X30" s="1">
        <v>2.93</v>
      </c>
      <c r="Y30" s="1">
        <v>0.02</v>
      </c>
      <c r="AC30" t="s">
        <v>35</v>
      </c>
      <c r="AD30">
        <v>2012</v>
      </c>
      <c r="AE30" t="s">
        <v>33</v>
      </c>
      <c r="AF30" t="s">
        <v>107</v>
      </c>
    </row>
    <row r="31" spans="1:32" hidden="1" x14ac:dyDescent="0.25">
      <c r="A31" s="4" t="s">
        <v>37</v>
      </c>
      <c r="B31" s="1">
        <v>25</v>
      </c>
      <c r="C31" s="1">
        <v>20</v>
      </c>
      <c r="E31" s="1">
        <v>0.05</v>
      </c>
      <c r="L31" s="1">
        <v>18.02</v>
      </c>
      <c r="M31" s="1">
        <v>0.71499999999999997</v>
      </c>
      <c r="T31" s="1">
        <v>0.05</v>
      </c>
      <c r="U31" s="1">
        <v>1.4999999999999999E-2</v>
      </c>
      <c r="X31" s="1">
        <v>2.4500000000000002</v>
      </c>
      <c r="Y31" s="1">
        <v>0.03</v>
      </c>
      <c r="AC31" t="s">
        <v>35</v>
      </c>
      <c r="AD31">
        <v>2012</v>
      </c>
      <c r="AE31" t="s">
        <v>33</v>
      </c>
      <c r="AF31" t="s">
        <v>107</v>
      </c>
    </row>
    <row r="32" spans="1:32" hidden="1" x14ac:dyDescent="0.25">
      <c r="A32" s="4" t="s">
        <v>37</v>
      </c>
      <c r="B32" s="1">
        <v>25</v>
      </c>
      <c r="C32" s="1">
        <v>20</v>
      </c>
      <c r="E32" s="1">
        <v>0.2</v>
      </c>
      <c r="L32" s="1">
        <v>13.13</v>
      </c>
      <c r="M32" s="1">
        <v>0.4</v>
      </c>
      <c r="T32" s="1">
        <v>3.9399999999999998E-2</v>
      </c>
      <c r="U32" s="1">
        <v>0.01</v>
      </c>
      <c r="X32" s="1">
        <v>2.75</v>
      </c>
      <c r="Y32" s="1">
        <v>0.03</v>
      </c>
      <c r="AC32" t="s">
        <v>35</v>
      </c>
      <c r="AD32">
        <v>2012</v>
      </c>
      <c r="AE32" t="s">
        <v>33</v>
      </c>
      <c r="AF32" t="s">
        <v>107</v>
      </c>
    </row>
    <row r="33" spans="1:32" hidden="1" x14ac:dyDescent="0.25">
      <c r="A33" s="4" t="s">
        <v>37</v>
      </c>
      <c r="B33" s="1">
        <v>30</v>
      </c>
      <c r="C33" s="1">
        <v>20</v>
      </c>
      <c r="E33" s="1">
        <v>0.05</v>
      </c>
      <c r="L33" s="1">
        <v>12.5</v>
      </c>
      <c r="M33" s="1">
        <v>0.48</v>
      </c>
      <c r="T33" s="1">
        <v>7.9000000000000001E-2</v>
      </c>
      <c r="U33" s="1">
        <v>4.0500000000000001E-2</v>
      </c>
      <c r="X33" s="1">
        <v>2.2799999999999998</v>
      </c>
      <c r="Y33" s="1">
        <v>0.03</v>
      </c>
      <c r="AC33" t="s">
        <v>35</v>
      </c>
      <c r="AD33">
        <v>2012</v>
      </c>
      <c r="AE33" t="s">
        <v>33</v>
      </c>
      <c r="AF33" t="s">
        <v>107</v>
      </c>
    </row>
    <row r="34" spans="1:32" hidden="1" x14ac:dyDescent="0.25">
      <c r="A34" s="4" t="s">
        <v>37</v>
      </c>
      <c r="B34" s="1">
        <v>30</v>
      </c>
      <c r="C34" s="1">
        <v>20</v>
      </c>
      <c r="E34" s="1">
        <v>0.2</v>
      </c>
      <c r="L34" s="1">
        <v>8.69</v>
      </c>
      <c r="M34" s="1">
        <v>0.41</v>
      </c>
      <c r="T34" s="1">
        <v>0.15</v>
      </c>
      <c r="U34" s="1">
        <v>0.02</v>
      </c>
      <c r="X34" s="1">
        <v>2.46</v>
      </c>
      <c r="Y34" s="1">
        <v>0.03</v>
      </c>
      <c r="AC34" t="s">
        <v>35</v>
      </c>
      <c r="AD34">
        <v>2012</v>
      </c>
      <c r="AE34" t="s">
        <v>33</v>
      </c>
      <c r="AF34" t="s">
        <v>107</v>
      </c>
    </row>
    <row r="35" spans="1:32" hidden="1" x14ac:dyDescent="0.25">
      <c r="A35" s="4" t="s">
        <v>37</v>
      </c>
      <c r="B35" s="1">
        <v>35</v>
      </c>
      <c r="C35" s="1">
        <v>20</v>
      </c>
      <c r="E35" s="1">
        <v>0.05</v>
      </c>
      <c r="L35" s="1">
        <v>12.7</v>
      </c>
      <c r="M35" s="1">
        <v>0.48</v>
      </c>
      <c r="T35" s="1">
        <v>0.57299999999999995</v>
      </c>
      <c r="U35" s="1">
        <v>0.06</v>
      </c>
      <c r="X35" s="1">
        <v>2.1800000000000002</v>
      </c>
      <c r="Y35" s="1">
        <v>0.03</v>
      </c>
      <c r="AC35" t="s">
        <v>35</v>
      </c>
      <c r="AD35">
        <v>2012</v>
      </c>
      <c r="AE35" t="s">
        <v>33</v>
      </c>
      <c r="AF35" t="s">
        <v>107</v>
      </c>
    </row>
    <row r="36" spans="1:32" hidden="1" x14ac:dyDescent="0.25">
      <c r="A36" s="4" t="s">
        <v>37</v>
      </c>
      <c r="B36" s="1">
        <v>35</v>
      </c>
      <c r="C36" s="1">
        <v>20</v>
      </c>
      <c r="E36" s="1">
        <v>0.2</v>
      </c>
      <c r="L36" s="1">
        <v>8.0500000000000007</v>
      </c>
      <c r="M36" s="1">
        <v>0.71</v>
      </c>
      <c r="T36" s="1">
        <v>0.82</v>
      </c>
      <c r="U36" s="1">
        <v>0.04</v>
      </c>
      <c r="X36" s="1">
        <v>2.29</v>
      </c>
      <c r="Y36" s="1">
        <v>0.03</v>
      </c>
      <c r="AC36" t="s">
        <v>35</v>
      </c>
      <c r="AD36">
        <v>2012</v>
      </c>
      <c r="AE36" t="s">
        <v>33</v>
      </c>
      <c r="AF36" t="s">
        <v>107</v>
      </c>
    </row>
    <row r="37" spans="1:32" hidden="1" x14ac:dyDescent="0.25">
      <c r="A37" s="4" t="s">
        <v>65</v>
      </c>
      <c r="B37" s="1">
        <v>5</v>
      </c>
      <c r="F37" s="1">
        <v>11</v>
      </c>
      <c r="G37" s="1">
        <v>1.3</v>
      </c>
      <c r="N37" s="1">
        <v>4.3999999999999997E-2</v>
      </c>
      <c r="P37" s="1">
        <v>0</v>
      </c>
      <c r="Q37" s="1">
        <v>0.1</v>
      </c>
      <c r="T37" s="1">
        <v>0</v>
      </c>
      <c r="U37" s="1">
        <v>0.01</v>
      </c>
      <c r="AC37" t="s">
        <v>35</v>
      </c>
      <c r="AD37">
        <v>2009</v>
      </c>
      <c r="AE37" t="s">
        <v>33</v>
      </c>
      <c r="AF37" t="s">
        <v>108</v>
      </c>
    </row>
    <row r="38" spans="1:32" hidden="1" x14ac:dyDescent="0.25">
      <c r="A38" s="4" t="s">
        <v>65</v>
      </c>
      <c r="B38" s="1">
        <v>10</v>
      </c>
      <c r="N38" s="1">
        <v>0.04</v>
      </c>
      <c r="P38" s="1">
        <v>0</v>
      </c>
      <c r="Q38" s="1">
        <v>0.1</v>
      </c>
      <c r="T38" s="1">
        <v>0</v>
      </c>
      <c r="U38" s="1">
        <v>0.01</v>
      </c>
      <c r="AC38" t="s">
        <v>35</v>
      </c>
      <c r="AD38">
        <v>2009</v>
      </c>
      <c r="AE38" t="s">
        <v>33</v>
      </c>
      <c r="AF38" t="s">
        <v>108</v>
      </c>
    </row>
    <row r="39" spans="1:32" x14ac:dyDescent="0.25">
      <c r="A39" s="4" t="s">
        <v>65</v>
      </c>
      <c r="B39" s="1">
        <v>15</v>
      </c>
      <c r="E39" s="1">
        <v>0.59182156133829</v>
      </c>
      <c r="F39" s="1">
        <v>7.4</v>
      </c>
      <c r="G39" s="1">
        <v>1.8</v>
      </c>
      <c r="H39" s="1">
        <v>26.9</v>
      </c>
      <c r="I39" s="1">
        <v>0.9</v>
      </c>
      <c r="J39" s="1">
        <v>8.6999999999999993</v>
      </c>
      <c r="K39" s="1">
        <v>0.6</v>
      </c>
      <c r="L39" s="1">
        <v>35</v>
      </c>
      <c r="M39" s="1">
        <v>0.9</v>
      </c>
      <c r="N39" s="1">
        <v>8.2000000000000003E-2</v>
      </c>
      <c r="O39" s="1">
        <v>0.01</v>
      </c>
      <c r="P39" s="1">
        <v>0.6</v>
      </c>
      <c r="R39" s="1">
        <v>0.83299999999999996</v>
      </c>
      <c r="T39" s="1">
        <v>0.5</v>
      </c>
      <c r="Z39" s="1">
        <v>38.93</v>
      </c>
      <c r="AA39">
        <v>40</v>
      </c>
      <c r="AC39" t="s">
        <v>35</v>
      </c>
      <c r="AD39">
        <v>2009</v>
      </c>
      <c r="AE39" t="s">
        <v>33</v>
      </c>
      <c r="AF39" t="s">
        <v>108</v>
      </c>
    </row>
    <row r="40" spans="1:32" x14ac:dyDescent="0.25">
      <c r="A40" s="4" t="s">
        <v>65</v>
      </c>
      <c r="B40" s="1">
        <v>20</v>
      </c>
      <c r="E40" s="1">
        <v>0.61509433962264148</v>
      </c>
      <c r="F40" s="1">
        <v>2.9</v>
      </c>
      <c r="G40" s="1">
        <v>0.4</v>
      </c>
      <c r="H40" s="1">
        <v>10.6</v>
      </c>
      <c r="I40" s="1">
        <v>0.4</v>
      </c>
      <c r="J40" s="1">
        <v>4.0999999999999996</v>
      </c>
      <c r="K40" s="1">
        <v>0.2</v>
      </c>
      <c r="L40" s="1">
        <v>14.4</v>
      </c>
      <c r="M40" s="1">
        <v>0.4</v>
      </c>
      <c r="N40" s="1">
        <v>0.66900000000000004</v>
      </c>
      <c r="O40" s="1">
        <v>0.01</v>
      </c>
      <c r="P40" s="1">
        <v>0.86</v>
      </c>
      <c r="R40" s="1">
        <v>0.89900000000000002</v>
      </c>
      <c r="T40" s="1">
        <v>0.77500000000000002</v>
      </c>
      <c r="Z40" s="1">
        <v>32.93</v>
      </c>
      <c r="AA40">
        <v>62</v>
      </c>
      <c r="AC40" t="s">
        <v>35</v>
      </c>
      <c r="AD40">
        <v>2009</v>
      </c>
      <c r="AE40" t="s">
        <v>33</v>
      </c>
      <c r="AF40" t="s">
        <v>108</v>
      </c>
    </row>
    <row r="41" spans="1:32" x14ac:dyDescent="0.25">
      <c r="A41" s="4" t="s">
        <v>65</v>
      </c>
      <c r="B41" s="1">
        <v>25</v>
      </c>
      <c r="E41" s="1">
        <v>0.5461538461538461</v>
      </c>
      <c r="F41" s="1">
        <v>4.5</v>
      </c>
      <c r="G41" s="1">
        <v>0.7</v>
      </c>
      <c r="H41" s="1">
        <v>7.8</v>
      </c>
      <c r="I41" s="1">
        <v>0.7</v>
      </c>
      <c r="J41" s="1">
        <v>2.7</v>
      </c>
      <c r="K41" s="1">
        <v>0.1</v>
      </c>
      <c r="L41" s="1">
        <v>10.4</v>
      </c>
      <c r="M41" s="1">
        <v>0.7</v>
      </c>
      <c r="N41" s="1">
        <v>0.49199999999999999</v>
      </c>
      <c r="O41" s="1">
        <v>0.01</v>
      </c>
      <c r="P41" s="1">
        <v>0.81</v>
      </c>
      <c r="R41" s="1">
        <v>0.93799999999999994</v>
      </c>
      <c r="T41" s="1">
        <v>0.76300000000000001</v>
      </c>
      <c r="Z41" s="1">
        <v>30</v>
      </c>
      <c r="AA41">
        <v>61</v>
      </c>
      <c r="AC41" t="s">
        <v>35</v>
      </c>
      <c r="AD41">
        <v>2009</v>
      </c>
      <c r="AE41" t="s">
        <v>33</v>
      </c>
      <c r="AF41" t="s">
        <v>108</v>
      </c>
    </row>
    <row r="42" spans="1:32" x14ac:dyDescent="0.25">
      <c r="A42" s="4" t="s">
        <v>65</v>
      </c>
      <c r="B42" s="1">
        <v>30</v>
      </c>
      <c r="C42" s="3"/>
      <c r="D42" s="3"/>
      <c r="E42" s="3">
        <v>0.56901408450704238</v>
      </c>
      <c r="F42" s="3">
        <v>6.7</v>
      </c>
      <c r="G42" s="3">
        <v>0.7</v>
      </c>
      <c r="H42" s="1">
        <v>7.1</v>
      </c>
      <c r="I42" s="1">
        <v>0.6</v>
      </c>
      <c r="J42" s="1">
        <v>1.9</v>
      </c>
      <c r="K42" s="1">
        <v>0.1</v>
      </c>
      <c r="L42" s="1">
        <v>8.8000000000000007</v>
      </c>
      <c r="M42" s="1">
        <v>0.6</v>
      </c>
      <c r="N42" s="1">
        <v>0.51200000000000001</v>
      </c>
      <c r="O42" s="1">
        <v>0.01</v>
      </c>
      <c r="P42" s="1">
        <v>0.75</v>
      </c>
      <c r="R42" s="1">
        <v>0.9</v>
      </c>
      <c r="T42" s="1">
        <v>0.67500000000000004</v>
      </c>
      <c r="Z42" s="1">
        <v>28.8</v>
      </c>
      <c r="AA42">
        <v>54</v>
      </c>
      <c r="AC42" t="s">
        <v>35</v>
      </c>
      <c r="AD42">
        <v>2009</v>
      </c>
      <c r="AE42" t="s">
        <v>33</v>
      </c>
      <c r="AF42" t="s">
        <v>108</v>
      </c>
    </row>
    <row r="43" spans="1:32" x14ac:dyDescent="0.25">
      <c r="A43" s="4" t="s">
        <v>65</v>
      </c>
      <c r="B43" s="1">
        <v>35</v>
      </c>
      <c r="C43" s="3"/>
      <c r="D43" s="3"/>
      <c r="E43" s="3">
        <v>0.63636363636363635</v>
      </c>
      <c r="F43" s="3">
        <v>7.1</v>
      </c>
      <c r="G43" s="3">
        <v>0.8</v>
      </c>
      <c r="H43" s="1">
        <v>12.1</v>
      </c>
      <c r="I43" s="1">
        <v>0.7</v>
      </c>
      <c r="J43" s="1">
        <v>1.7</v>
      </c>
      <c r="K43" s="1">
        <v>0.7</v>
      </c>
      <c r="L43" s="1">
        <v>12.3</v>
      </c>
      <c r="M43" s="1">
        <v>0.7</v>
      </c>
      <c r="N43" s="1">
        <v>0.1</v>
      </c>
      <c r="O43" s="1">
        <v>0.01</v>
      </c>
      <c r="P43" s="1">
        <v>0.3</v>
      </c>
      <c r="R43" s="1">
        <v>8.3000000000000004E-2</v>
      </c>
      <c r="T43" s="1">
        <v>2.5000000000000001E-2</v>
      </c>
      <c r="Z43" s="1">
        <v>19.87</v>
      </c>
      <c r="AA43">
        <v>3</v>
      </c>
      <c r="AC43" t="s">
        <v>35</v>
      </c>
      <c r="AD43">
        <v>2009</v>
      </c>
      <c r="AE43" t="s">
        <v>33</v>
      </c>
      <c r="AF43" t="s">
        <v>108</v>
      </c>
    </row>
    <row r="44" spans="1:32" x14ac:dyDescent="0.25">
      <c r="A44" s="4" t="s">
        <v>66</v>
      </c>
      <c r="B44" s="1">
        <v>20</v>
      </c>
      <c r="C44" s="3">
        <v>30</v>
      </c>
      <c r="D44" s="2">
        <v>60</v>
      </c>
      <c r="E44" s="3"/>
      <c r="F44" s="3"/>
      <c r="G44" s="3"/>
      <c r="L44" s="1">
        <v>15.7</v>
      </c>
      <c r="M44" s="1">
        <v>0.23</v>
      </c>
      <c r="T44" s="1">
        <v>0.81200000000000006</v>
      </c>
      <c r="U44" s="1">
        <v>1.2E-2</v>
      </c>
      <c r="Z44" s="1">
        <v>23.82</v>
      </c>
      <c r="AA44">
        <f>C44*T44</f>
        <v>24.360000000000003</v>
      </c>
      <c r="AB44" s="1">
        <v>1.52</v>
      </c>
      <c r="AC44" t="s">
        <v>32</v>
      </c>
      <c r="AD44">
        <v>2011</v>
      </c>
      <c r="AE44" t="s">
        <v>34</v>
      </c>
      <c r="AF44" t="s">
        <v>109</v>
      </c>
    </row>
    <row r="45" spans="1:32" x14ac:dyDescent="0.25">
      <c r="A45" s="4" t="s">
        <v>66</v>
      </c>
      <c r="B45" s="1">
        <v>25</v>
      </c>
      <c r="C45" s="3">
        <v>30</v>
      </c>
      <c r="D45" s="2">
        <v>60</v>
      </c>
      <c r="E45" s="3"/>
      <c r="F45" s="3"/>
      <c r="G45" s="3"/>
      <c r="L45" s="1">
        <v>9.84</v>
      </c>
      <c r="M45" s="1">
        <v>0.16</v>
      </c>
      <c r="T45" s="1">
        <v>0.98099999999999998</v>
      </c>
      <c r="U45" s="1">
        <v>1.7000000000000001E-2</v>
      </c>
      <c r="Z45" s="1">
        <v>26.21</v>
      </c>
      <c r="AA45">
        <f>C45*T45</f>
        <v>29.43</v>
      </c>
      <c r="AB45" s="1">
        <v>2.54</v>
      </c>
      <c r="AC45" t="s">
        <v>32</v>
      </c>
      <c r="AD45">
        <v>2011</v>
      </c>
      <c r="AE45" t="s">
        <v>34</v>
      </c>
      <c r="AF45" t="s">
        <v>109</v>
      </c>
    </row>
    <row r="46" spans="1:32" x14ac:dyDescent="0.25">
      <c r="A46" s="4" t="s">
        <v>66</v>
      </c>
      <c r="B46" s="1">
        <v>30</v>
      </c>
      <c r="C46" s="3">
        <v>30</v>
      </c>
      <c r="D46" s="2">
        <v>60</v>
      </c>
      <c r="E46" s="3"/>
      <c r="F46" s="3"/>
      <c r="G46" s="3"/>
      <c r="L46" s="1">
        <v>8.23</v>
      </c>
      <c r="M46" s="1">
        <v>0.15</v>
      </c>
      <c r="T46" s="1">
        <v>0.84899999999999998</v>
      </c>
      <c r="U46" s="1">
        <v>5.0000000000000001E-3</v>
      </c>
      <c r="Z46" s="1">
        <v>31.11</v>
      </c>
      <c r="AA46">
        <f>C46*T46</f>
        <v>25.47</v>
      </c>
      <c r="AB46" s="1">
        <v>1.74</v>
      </c>
      <c r="AC46" t="s">
        <v>32</v>
      </c>
      <c r="AD46">
        <v>2011</v>
      </c>
      <c r="AE46" t="s">
        <v>34</v>
      </c>
      <c r="AF46" t="s">
        <v>109</v>
      </c>
    </row>
    <row r="47" spans="1:32" x14ac:dyDescent="0.25">
      <c r="A47" s="4" t="s">
        <v>67</v>
      </c>
      <c r="B47" s="1">
        <v>25</v>
      </c>
      <c r="C47" s="3">
        <v>50</v>
      </c>
      <c r="D47" s="2">
        <v>60</v>
      </c>
      <c r="E47" s="3"/>
      <c r="F47" s="3"/>
      <c r="G47" s="3"/>
      <c r="L47" s="1">
        <v>13.45</v>
      </c>
      <c r="M47" s="1">
        <v>0.37</v>
      </c>
      <c r="Z47" s="1">
        <v>54</v>
      </c>
      <c r="AA47">
        <f>15*30</f>
        <v>450</v>
      </c>
      <c r="AC47" t="s">
        <v>32</v>
      </c>
      <c r="AD47">
        <v>2015</v>
      </c>
      <c r="AE47" t="s">
        <v>33</v>
      </c>
      <c r="AF47" t="s">
        <v>110</v>
      </c>
    </row>
    <row r="48" spans="1:32" hidden="1" x14ac:dyDescent="0.25">
      <c r="A48" s="4" t="s">
        <v>68</v>
      </c>
      <c r="B48" s="1">
        <v>26</v>
      </c>
      <c r="C48" s="3">
        <v>20</v>
      </c>
      <c r="D48" s="3">
        <v>256</v>
      </c>
      <c r="E48" s="3">
        <f t="shared" ref="E48:E68" si="2">D48/(C48*L48)</f>
        <v>0.95522388059701491</v>
      </c>
      <c r="F48" s="3"/>
      <c r="G48" s="3"/>
      <c r="L48" s="1">
        <v>13.4</v>
      </c>
      <c r="M48" s="1">
        <v>0.1</v>
      </c>
      <c r="T48" s="1">
        <f>36/40</f>
        <v>0.9</v>
      </c>
      <c r="X48" s="1">
        <v>2.4900000000000002</v>
      </c>
      <c r="Y48" s="1">
        <v>0.02</v>
      </c>
      <c r="AC48" t="s">
        <v>32</v>
      </c>
      <c r="AD48">
        <v>1986</v>
      </c>
      <c r="AE48" t="s">
        <v>36</v>
      </c>
      <c r="AF48" t="s">
        <v>111</v>
      </c>
    </row>
    <row r="49" spans="1:32" hidden="1" x14ac:dyDescent="0.25">
      <c r="A49" s="4" t="s">
        <v>68</v>
      </c>
      <c r="B49" s="1">
        <v>26</v>
      </c>
      <c r="C49" s="3">
        <v>50</v>
      </c>
      <c r="D49" s="3">
        <v>312</v>
      </c>
      <c r="E49" s="3">
        <f t="shared" si="2"/>
        <v>0.39493670886075949</v>
      </c>
      <c r="F49" s="3"/>
      <c r="G49" s="3"/>
      <c r="L49" s="1">
        <v>15.8</v>
      </c>
      <c r="M49" s="1">
        <v>0.2</v>
      </c>
      <c r="T49" s="1">
        <v>1</v>
      </c>
      <c r="X49" s="1">
        <v>2.96</v>
      </c>
      <c r="Y49" s="1">
        <v>0.01</v>
      </c>
      <c r="AC49" t="s">
        <v>32</v>
      </c>
      <c r="AD49">
        <v>1986</v>
      </c>
      <c r="AE49" t="s">
        <v>36</v>
      </c>
      <c r="AF49" t="s">
        <v>111</v>
      </c>
    </row>
    <row r="50" spans="1:32" hidden="1" x14ac:dyDescent="0.25">
      <c r="A50" s="4" t="s">
        <v>68</v>
      </c>
      <c r="B50" s="1">
        <v>26</v>
      </c>
      <c r="C50" s="3">
        <v>100</v>
      </c>
      <c r="D50" s="3">
        <v>340</v>
      </c>
      <c r="E50" s="3">
        <f t="shared" si="2"/>
        <v>0.18888888888888888</v>
      </c>
      <c r="F50" s="3"/>
      <c r="G50" s="3"/>
      <c r="L50" s="1">
        <v>18</v>
      </c>
      <c r="M50" s="1">
        <v>0.1</v>
      </c>
      <c r="T50" s="1">
        <f>193/200</f>
        <v>0.96499999999999997</v>
      </c>
      <c r="X50" s="1">
        <v>2.76</v>
      </c>
      <c r="Y50" s="1">
        <v>0.01</v>
      </c>
      <c r="AC50" t="s">
        <v>32</v>
      </c>
      <c r="AD50">
        <v>1986</v>
      </c>
      <c r="AE50" t="s">
        <v>36</v>
      </c>
      <c r="AF50" t="s">
        <v>111</v>
      </c>
    </row>
    <row r="51" spans="1:32" hidden="1" x14ac:dyDescent="0.25">
      <c r="A51" s="4" t="s">
        <v>68</v>
      </c>
      <c r="B51" s="1">
        <v>26</v>
      </c>
      <c r="C51" s="3">
        <v>150</v>
      </c>
      <c r="D51" s="3">
        <v>368</v>
      </c>
      <c r="E51" s="3">
        <f t="shared" si="2"/>
        <v>0.11682539682539683</v>
      </c>
      <c r="F51" s="3"/>
      <c r="G51" s="3"/>
      <c r="L51" s="1">
        <v>21</v>
      </c>
      <c r="M51" s="1">
        <v>1.6</v>
      </c>
      <c r="T51" s="1">
        <f>272/300</f>
        <v>0.90666666666666662</v>
      </c>
      <c r="X51" s="1">
        <v>2.66</v>
      </c>
      <c r="Y51" s="1">
        <v>5.0000000000000001E-3</v>
      </c>
      <c r="AC51" t="s">
        <v>32</v>
      </c>
      <c r="AD51">
        <v>1986</v>
      </c>
      <c r="AE51" t="s">
        <v>36</v>
      </c>
      <c r="AF51" t="s">
        <v>111</v>
      </c>
    </row>
    <row r="52" spans="1:32" hidden="1" x14ac:dyDescent="0.25">
      <c r="A52" s="4" t="s">
        <v>68</v>
      </c>
      <c r="B52" s="1">
        <v>26</v>
      </c>
      <c r="C52" s="3">
        <v>200</v>
      </c>
      <c r="D52" s="3">
        <v>480</v>
      </c>
      <c r="E52" s="3">
        <f t="shared" si="2"/>
        <v>8.191126279863481E-2</v>
      </c>
      <c r="F52" s="3"/>
      <c r="G52" s="3"/>
      <c r="L52" s="1">
        <v>29.3</v>
      </c>
      <c r="M52" s="1">
        <v>6.9</v>
      </c>
      <c r="T52" s="1">
        <f>303/400</f>
        <v>0.75749999999999995</v>
      </c>
      <c r="X52" s="1">
        <v>2.65</v>
      </c>
      <c r="Y52" s="1">
        <v>0.02</v>
      </c>
      <c r="AC52" t="s">
        <v>32</v>
      </c>
      <c r="AD52">
        <v>1986</v>
      </c>
      <c r="AE52" t="s">
        <v>36</v>
      </c>
      <c r="AF52" t="s">
        <v>111</v>
      </c>
    </row>
    <row r="53" spans="1:32" hidden="1" x14ac:dyDescent="0.25">
      <c r="A53" s="4" t="s">
        <v>68</v>
      </c>
      <c r="B53" s="1">
        <v>26</v>
      </c>
      <c r="C53" s="3">
        <v>20</v>
      </c>
      <c r="D53" s="3">
        <v>188</v>
      </c>
      <c r="E53" s="3">
        <f t="shared" si="2"/>
        <v>1</v>
      </c>
      <c r="F53" s="3"/>
      <c r="G53" s="3"/>
      <c r="L53" s="1">
        <v>9.4</v>
      </c>
      <c r="M53" s="1">
        <v>0.6</v>
      </c>
      <c r="T53" s="1">
        <f>32/40</f>
        <v>0.8</v>
      </c>
      <c r="X53" s="1">
        <v>2.41</v>
      </c>
      <c r="Y53" s="1">
        <v>0.08</v>
      </c>
      <c r="AC53" t="s">
        <v>32</v>
      </c>
      <c r="AD53">
        <v>1986</v>
      </c>
      <c r="AE53" t="s">
        <v>36</v>
      </c>
      <c r="AF53" t="s">
        <v>111</v>
      </c>
    </row>
    <row r="54" spans="1:32" hidden="1" x14ac:dyDescent="0.25">
      <c r="A54" s="4" t="s">
        <v>68</v>
      </c>
      <c r="B54" s="1">
        <v>26</v>
      </c>
      <c r="C54" s="3">
        <v>50</v>
      </c>
      <c r="D54" s="3">
        <v>188</v>
      </c>
      <c r="E54" s="3">
        <f t="shared" si="2"/>
        <v>0.39578947368421052</v>
      </c>
      <c r="F54" s="3"/>
      <c r="G54" s="3"/>
      <c r="L54" s="1">
        <v>9.5</v>
      </c>
      <c r="M54" s="1">
        <v>0.4</v>
      </c>
      <c r="T54" s="1">
        <f>94/100</f>
        <v>0.94</v>
      </c>
      <c r="X54" s="1">
        <v>2.8</v>
      </c>
      <c r="Y54" s="1">
        <v>0.02</v>
      </c>
      <c r="AC54" t="s">
        <v>32</v>
      </c>
      <c r="AD54">
        <v>1986</v>
      </c>
      <c r="AE54" t="s">
        <v>36</v>
      </c>
      <c r="AF54" t="s">
        <v>111</v>
      </c>
    </row>
    <row r="55" spans="1:32" hidden="1" x14ac:dyDescent="0.25">
      <c r="A55" s="4" t="s">
        <v>68</v>
      </c>
      <c r="B55" s="1">
        <v>26</v>
      </c>
      <c r="C55" s="3">
        <v>100</v>
      </c>
      <c r="D55" s="3">
        <v>256</v>
      </c>
      <c r="E55" s="3">
        <f t="shared" si="2"/>
        <v>0.21157024793388429</v>
      </c>
      <c r="F55" s="3"/>
      <c r="G55" s="3"/>
      <c r="L55" s="1">
        <v>12.1</v>
      </c>
      <c r="M55" s="1">
        <v>0.2</v>
      </c>
      <c r="T55" s="1">
        <f>182/200</f>
        <v>0.91</v>
      </c>
      <c r="X55" s="1">
        <v>2.74</v>
      </c>
      <c r="Y55" s="1">
        <v>5.0000000000000001E-3</v>
      </c>
      <c r="AC55" t="s">
        <v>32</v>
      </c>
      <c r="AD55">
        <v>1986</v>
      </c>
      <c r="AE55" t="s">
        <v>36</v>
      </c>
      <c r="AF55" t="s">
        <v>111</v>
      </c>
    </row>
    <row r="56" spans="1:32" hidden="1" x14ac:dyDescent="0.25">
      <c r="A56" s="4" t="s">
        <v>68</v>
      </c>
      <c r="B56" s="1">
        <v>26</v>
      </c>
      <c r="C56" s="3">
        <v>150</v>
      </c>
      <c r="D56" s="3">
        <v>312</v>
      </c>
      <c r="E56" s="3">
        <f t="shared" si="2"/>
        <v>0.12606060606060607</v>
      </c>
      <c r="F56" s="3"/>
      <c r="G56" s="3"/>
      <c r="L56" s="1">
        <v>16.5</v>
      </c>
      <c r="M56" s="1">
        <v>0.3</v>
      </c>
      <c r="T56" s="1">
        <f>283/300</f>
        <v>0.94333333333333336</v>
      </c>
      <c r="X56" s="1">
        <v>2.67</v>
      </c>
      <c r="Y56" s="1">
        <v>0.02</v>
      </c>
      <c r="AC56" t="s">
        <v>32</v>
      </c>
      <c r="AD56">
        <v>1986</v>
      </c>
      <c r="AE56" t="s">
        <v>36</v>
      </c>
      <c r="AF56" t="s">
        <v>111</v>
      </c>
    </row>
    <row r="57" spans="1:32" hidden="1" x14ac:dyDescent="0.25">
      <c r="A57" s="4" t="s">
        <v>68</v>
      </c>
      <c r="B57" s="1">
        <v>26</v>
      </c>
      <c r="C57" s="3">
        <v>200</v>
      </c>
      <c r="D57" s="3">
        <v>340</v>
      </c>
      <c r="E57" s="3">
        <f t="shared" si="2"/>
        <v>9.0425531914893623E-2</v>
      </c>
      <c r="F57" s="3"/>
      <c r="G57" s="3"/>
      <c r="L57" s="1">
        <v>18.8</v>
      </c>
      <c r="M57" s="1">
        <v>0.6</v>
      </c>
      <c r="T57" s="1">
        <f>346/400</f>
        <v>0.86499999999999999</v>
      </c>
      <c r="X57" s="1">
        <v>2.56</v>
      </c>
      <c r="Y57" s="1">
        <v>0.02</v>
      </c>
      <c r="AC57" t="s">
        <v>32</v>
      </c>
      <c r="AD57">
        <v>1986</v>
      </c>
      <c r="AE57" t="s">
        <v>36</v>
      </c>
      <c r="AF57" t="s">
        <v>111</v>
      </c>
    </row>
    <row r="58" spans="1:32" hidden="1" x14ac:dyDescent="0.25">
      <c r="A58" s="4" t="s">
        <v>68</v>
      </c>
      <c r="B58" s="1">
        <v>26</v>
      </c>
      <c r="C58" s="1">
        <v>20</v>
      </c>
      <c r="D58" s="1">
        <v>42.9</v>
      </c>
      <c r="E58" s="1">
        <f t="shared" si="2"/>
        <v>0.11657608695652173</v>
      </c>
      <c r="L58" s="1">
        <v>18.399999999999999</v>
      </c>
      <c r="M58" s="1">
        <v>0.2</v>
      </c>
      <c r="T58" s="1">
        <f>35/40</f>
        <v>0.875</v>
      </c>
      <c r="X58" s="1">
        <v>2.4700000000000002</v>
      </c>
      <c r="Y58" s="1">
        <v>0.01</v>
      </c>
      <c r="AC58" t="s">
        <v>32</v>
      </c>
      <c r="AD58">
        <v>1986</v>
      </c>
      <c r="AE58" t="s">
        <v>36</v>
      </c>
      <c r="AF58" t="s">
        <v>111</v>
      </c>
    </row>
    <row r="59" spans="1:32" hidden="1" x14ac:dyDescent="0.25">
      <c r="A59" s="4" t="s">
        <v>68</v>
      </c>
      <c r="B59" s="1">
        <v>26</v>
      </c>
      <c r="C59" s="1">
        <v>50</v>
      </c>
      <c r="D59" s="1">
        <v>75</v>
      </c>
      <c r="E59" s="1">
        <f t="shared" si="2"/>
        <v>4.1666666666666664E-2</v>
      </c>
      <c r="L59" s="1">
        <v>36</v>
      </c>
      <c r="M59" s="1">
        <v>1</v>
      </c>
      <c r="T59" s="1">
        <f>70/100</f>
        <v>0.7</v>
      </c>
      <c r="X59" s="1">
        <v>2.68</v>
      </c>
      <c r="Y59" s="1">
        <v>0.02</v>
      </c>
      <c r="AC59" t="s">
        <v>32</v>
      </c>
      <c r="AD59">
        <v>1986</v>
      </c>
      <c r="AE59" t="s">
        <v>36</v>
      </c>
      <c r="AF59" t="s">
        <v>111</v>
      </c>
    </row>
    <row r="60" spans="1:32" hidden="1" x14ac:dyDescent="0.25">
      <c r="A60" s="4" t="s">
        <v>68</v>
      </c>
      <c r="B60" s="1">
        <v>26</v>
      </c>
      <c r="C60" s="1">
        <v>100</v>
      </c>
      <c r="D60" s="1">
        <v>65.900000000000006</v>
      </c>
      <c r="E60" s="1">
        <f t="shared" si="2"/>
        <v>2.0529595015576326E-2</v>
      </c>
      <c r="L60" s="1">
        <v>32.1</v>
      </c>
      <c r="M60" s="1">
        <v>14.5</v>
      </c>
      <c r="T60" s="1">
        <f>136/200</f>
        <v>0.68</v>
      </c>
      <c r="X60" s="1">
        <v>2.39</v>
      </c>
      <c r="Y60" s="1">
        <v>0.03</v>
      </c>
      <c r="AC60" t="s">
        <v>32</v>
      </c>
      <c r="AD60">
        <v>1986</v>
      </c>
      <c r="AE60" t="s">
        <v>36</v>
      </c>
      <c r="AF60" t="s">
        <v>111</v>
      </c>
    </row>
    <row r="61" spans="1:32" hidden="1" x14ac:dyDescent="0.25">
      <c r="A61" s="4" t="s">
        <v>68</v>
      </c>
      <c r="B61" s="1">
        <v>26</v>
      </c>
      <c r="C61" s="1">
        <v>150</v>
      </c>
      <c r="D61" s="1">
        <v>82.899999999999991</v>
      </c>
      <c r="E61" s="1">
        <f t="shared" si="2"/>
        <v>1.3158730158730158E-2</v>
      </c>
      <c r="L61" s="1">
        <v>42</v>
      </c>
      <c r="M61" s="1">
        <v>1</v>
      </c>
      <c r="T61" s="1">
        <f>64/300</f>
        <v>0.21333333333333335</v>
      </c>
      <c r="X61" s="1">
        <v>2.4900000000000002</v>
      </c>
      <c r="Y61" s="1">
        <v>0.17</v>
      </c>
      <c r="AC61" t="s">
        <v>32</v>
      </c>
      <c r="AD61">
        <v>1986</v>
      </c>
      <c r="AE61" t="s">
        <v>36</v>
      </c>
      <c r="AF61" t="s">
        <v>111</v>
      </c>
    </row>
    <row r="62" spans="1:32" hidden="1" x14ac:dyDescent="0.25">
      <c r="A62" s="4" t="s">
        <v>68</v>
      </c>
      <c r="B62" s="1">
        <v>26</v>
      </c>
      <c r="C62" s="1">
        <v>200</v>
      </c>
      <c r="D62" s="1">
        <v>82.899999999999991</v>
      </c>
      <c r="E62" s="1">
        <f t="shared" si="2"/>
        <v>9.987951807228914E-3</v>
      </c>
      <c r="L62" s="1">
        <v>41.5</v>
      </c>
      <c r="M62" s="1">
        <v>0.1</v>
      </c>
      <c r="T62" s="1">
        <f>71/400</f>
        <v>0.17749999999999999</v>
      </c>
      <c r="X62" s="1">
        <v>2.3199999999999998</v>
      </c>
      <c r="Y62" s="1">
        <v>0.01</v>
      </c>
      <c r="AC62" t="s">
        <v>32</v>
      </c>
      <c r="AD62">
        <v>1986</v>
      </c>
      <c r="AE62" t="s">
        <v>36</v>
      </c>
      <c r="AF62" t="s">
        <v>111</v>
      </c>
    </row>
    <row r="63" spans="1:32" hidden="1" x14ac:dyDescent="0.25">
      <c r="A63" s="4" t="s">
        <v>68</v>
      </c>
      <c r="B63" s="1">
        <v>26</v>
      </c>
      <c r="C63" s="1">
        <v>20</v>
      </c>
      <c r="D63" s="1">
        <v>42.9</v>
      </c>
      <c r="E63" s="1">
        <f t="shared" si="2"/>
        <v>0.11532258064516129</v>
      </c>
      <c r="L63" s="1">
        <v>18.600000000000001</v>
      </c>
      <c r="M63" s="1">
        <v>0.01</v>
      </c>
      <c r="T63" s="1">
        <f>14/40</f>
        <v>0.35</v>
      </c>
      <c r="X63" s="1">
        <v>2.37</v>
      </c>
      <c r="Y63" s="1">
        <v>0.1</v>
      </c>
      <c r="AC63" t="s">
        <v>32</v>
      </c>
      <c r="AD63">
        <v>1986</v>
      </c>
      <c r="AE63" t="s">
        <v>36</v>
      </c>
      <c r="AF63" t="s">
        <v>111</v>
      </c>
    </row>
    <row r="64" spans="1:32" hidden="1" x14ac:dyDescent="0.25">
      <c r="A64" s="4" t="s">
        <v>68</v>
      </c>
      <c r="B64" s="1">
        <v>26</v>
      </c>
      <c r="C64" s="1">
        <v>50</v>
      </c>
      <c r="D64" s="1">
        <v>56.5</v>
      </c>
      <c r="E64" s="1">
        <f t="shared" si="2"/>
        <v>4.1090909090909088E-2</v>
      </c>
      <c r="L64" s="1">
        <v>27.5</v>
      </c>
      <c r="M64" s="1">
        <v>1.1000000000000001</v>
      </c>
      <c r="T64" s="1">
        <f>63/100</f>
        <v>0.63</v>
      </c>
      <c r="X64" s="1">
        <v>2.42</v>
      </c>
      <c r="Y64" s="1">
        <v>0.02</v>
      </c>
      <c r="AC64" t="s">
        <v>32</v>
      </c>
      <c r="AD64">
        <v>1986</v>
      </c>
      <c r="AE64" t="s">
        <v>36</v>
      </c>
      <c r="AF64" t="s">
        <v>111</v>
      </c>
    </row>
    <row r="65" spans="1:32" hidden="1" x14ac:dyDescent="0.25">
      <c r="A65" s="4" t="s">
        <v>68</v>
      </c>
      <c r="B65" s="1">
        <v>26</v>
      </c>
      <c r="C65" s="1">
        <v>100</v>
      </c>
      <c r="D65" s="1">
        <v>76.100000000000009</v>
      </c>
      <c r="E65" s="1">
        <f t="shared" si="2"/>
        <v>1.9314720812182742E-2</v>
      </c>
      <c r="L65" s="1">
        <v>39.4</v>
      </c>
      <c r="M65" s="1">
        <v>6.9</v>
      </c>
      <c r="T65" s="1">
        <f>41/200</f>
        <v>0.20499999999999999</v>
      </c>
      <c r="X65" s="1">
        <v>2.09</v>
      </c>
      <c r="Y65" s="1">
        <v>0.06</v>
      </c>
      <c r="AC65" t="s">
        <v>32</v>
      </c>
      <c r="AD65">
        <v>1986</v>
      </c>
      <c r="AE65" t="s">
        <v>36</v>
      </c>
      <c r="AF65" t="s">
        <v>111</v>
      </c>
    </row>
    <row r="66" spans="1:32" hidden="1" x14ac:dyDescent="0.25">
      <c r="A66" s="4" t="s">
        <v>68</v>
      </c>
      <c r="B66" s="1">
        <v>26</v>
      </c>
      <c r="C66" s="1">
        <v>150</v>
      </c>
      <c r="D66" s="1">
        <v>72.699999999999989</v>
      </c>
      <c r="E66" s="1">
        <f t="shared" si="2"/>
        <v>1.3028673835125446E-2</v>
      </c>
      <c r="L66" s="1">
        <v>37.200000000000003</v>
      </c>
      <c r="M66" s="1">
        <v>2.4</v>
      </c>
      <c r="T66" s="1">
        <f>27/300</f>
        <v>0.09</v>
      </c>
      <c r="X66" s="1">
        <v>2.2000000000000002</v>
      </c>
      <c r="Y66" s="1">
        <v>0.05</v>
      </c>
      <c r="AC66" t="s">
        <v>32</v>
      </c>
      <c r="AD66">
        <v>1986</v>
      </c>
      <c r="AE66" t="s">
        <v>36</v>
      </c>
      <c r="AF66" t="s">
        <v>111</v>
      </c>
    </row>
    <row r="67" spans="1:32" hidden="1" x14ac:dyDescent="0.25">
      <c r="A67" s="4" t="s">
        <v>68</v>
      </c>
      <c r="B67" s="1">
        <v>26</v>
      </c>
      <c r="C67" s="1">
        <v>200</v>
      </c>
      <c r="D67" s="1">
        <v>76.100000000000009</v>
      </c>
      <c r="E67" s="1">
        <f t="shared" si="2"/>
        <v>9.5843828715365242E-3</v>
      </c>
      <c r="L67" s="1">
        <v>39.700000000000003</v>
      </c>
      <c r="M67" s="1">
        <v>2.7</v>
      </c>
      <c r="T67" s="1">
        <f>32/400</f>
        <v>0.08</v>
      </c>
      <c r="X67" s="1">
        <v>2.0499999999999998</v>
      </c>
      <c r="Y67" s="1">
        <v>0.05</v>
      </c>
      <c r="AC67" t="s">
        <v>32</v>
      </c>
      <c r="AD67">
        <v>1986</v>
      </c>
      <c r="AE67" t="s">
        <v>36</v>
      </c>
      <c r="AF67" t="s">
        <v>111</v>
      </c>
    </row>
    <row r="68" spans="1:32" hidden="1" x14ac:dyDescent="0.25">
      <c r="A68" s="4" t="s">
        <v>69</v>
      </c>
      <c r="B68" s="1">
        <v>25</v>
      </c>
      <c r="C68" s="1">
        <v>150</v>
      </c>
      <c r="D68" s="1">
        <v>200</v>
      </c>
      <c r="E68" s="1">
        <f t="shared" si="2"/>
        <v>0.10666666666666667</v>
      </c>
      <c r="L68" s="1">
        <v>12.5</v>
      </c>
      <c r="M68" s="1">
        <v>0.3</v>
      </c>
      <c r="T68" s="1">
        <v>0.78</v>
      </c>
      <c r="U68" s="1">
        <v>0.04</v>
      </c>
      <c r="X68" s="1">
        <v>2.83</v>
      </c>
      <c r="Y68" s="1">
        <v>0.06</v>
      </c>
      <c r="AC68" t="s">
        <v>32</v>
      </c>
      <c r="AD68">
        <v>2014</v>
      </c>
      <c r="AE68" t="s">
        <v>33</v>
      </c>
      <c r="AF68" t="s">
        <v>112</v>
      </c>
    </row>
    <row r="69" spans="1:32" x14ac:dyDescent="0.25">
      <c r="A69" s="4" t="s">
        <v>61</v>
      </c>
      <c r="B69" s="1">
        <v>20</v>
      </c>
      <c r="X69" s="1">
        <v>2.7055199999999999</v>
      </c>
      <c r="Y69" s="1">
        <v>3.9200000000000124E-2</v>
      </c>
      <c r="Z69" s="1">
        <v>28</v>
      </c>
      <c r="AA69" s="1">
        <v>10</v>
      </c>
      <c r="AC69" t="s">
        <v>32</v>
      </c>
      <c r="AD69">
        <v>2014</v>
      </c>
      <c r="AE69" t="s">
        <v>33</v>
      </c>
      <c r="AF69" t="s">
        <v>97</v>
      </c>
    </row>
    <row r="70" spans="1:32" x14ac:dyDescent="0.25">
      <c r="A70" s="4" t="s">
        <v>61</v>
      </c>
      <c r="B70" s="1">
        <v>20</v>
      </c>
      <c r="X70" s="1">
        <v>2.6526000000000001</v>
      </c>
      <c r="Y70" s="1">
        <v>3.9200000000000124E-2</v>
      </c>
      <c r="Z70" s="1">
        <v>69</v>
      </c>
      <c r="AA70" s="1">
        <v>10</v>
      </c>
      <c r="AC70" t="s">
        <v>32</v>
      </c>
      <c r="AD70">
        <v>2014</v>
      </c>
      <c r="AE70" t="s">
        <v>33</v>
      </c>
      <c r="AF70" t="s">
        <v>97</v>
      </c>
    </row>
    <row r="71" spans="1:32" x14ac:dyDescent="0.25">
      <c r="A71" s="4" t="s">
        <v>61</v>
      </c>
      <c r="B71" s="1">
        <v>20</v>
      </c>
      <c r="X71" s="1">
        <v>2.51736</v>
      </c>
      <c r="Y71" s="1">
        <v>3.9200000000000124E-2</v>
      </c>
      <c r="Z71" s="1">
        <v>98</v>
      </c>
      <c r="AA71" s="1">
        <v>10</v>
      </c>
      <c r="AC71" t="s">
        <v>32</v>
      </c>
      <c r="AD71">
        <v>2019</v>
      </c>
      <c r="AE71" t="s">
        <v>33</v>
      </c>
      <c r="AF71" t="s">
        <v>97</v>
      </c>
    </row>
    <row r="72" spans="1:32" x14ac:dyDescent="0.25">
      <c r="A72" s="4" t="s">
        <v>61</v>
      </c>
      <c r="B72" s="1">
        <v>27</v>
      </c>
      <c r="X72" s="1">
        <v>2.7055199999999999</v>
      </c>
      <c r="Y72" s="1">
        <v>2.9399999999999871E-2</v>
      </c>
      <c r="Z72" s="1">
        <v>60</v>
      </c>
      <c r="AA72" s="1">
        <v>10</v>
      </c>
      <c r="AC72" t="s">
        <v>32</v>
      </c>
      <c r="AD72">
        <v>2019</v>
      </c>
      <c r="AE72" t="s">
        <v>33</v>
      </c>
      <c r="AF72" t="s">
        <v>97</v>
      </c>
    </row>
    <row r="73" spans="1:32" x14ac:dyDescent="0.25">
      <c r="A73" s="4" t="s">
        <v>61</v>
      </c>
      <c r="B73" s="1">
        <v>27</v>
      </c>
      <c r="X73" s="1">
        <v>2.6526000000000001</v>
      </c>
      <c r="Y73" s="1">
        <v>2.9399999999999871E-2</v>
      </c>
      <c r="Z73" s="1">
        <v>30</v>
      </c>
      <c r="AA73" s="1">
        <v>10</v>
      </c>
      <c r="AC73" t="s">
        <v>32</v>
      </c>
      <c r="AD73">
        <v>2019</v>
      </c>
      <c r="AE73" t="s">
        <v>33</v>
      </c>
      <c r="AF73" t="s">
        <v>97</v>
      </c>
    </row>
    <row r="74" spans="1:32" x14ac:dyDescent="0.25">
      <c r="A74" s="4" t="s">
        <v>61</v>
      </c>
      <c r="B74" s="1">
        <v>27</v>
      </c>
      <c r="X74" s="1">
        <v>2.51736</v>
      </c>
      <c r="Y74" s="1">
        <v>2.9399999999999871E-2</v>
      </c>
      <c r="Z74" s="1">
        <v>49</v>
      </c>
      <c r="AA74" s="1">
        <v>10</v>
      </c>
      <c r="AC74" t="s">
        <v>32</v>
      </c>
      <c r="AD74">
        <v>2019</v>
      </c>
      <c r="AE74" t="s">
        <v>33</v>
      </c>
      <c r="AF74" t="s">
        <v>97</v>
      </c>
    </row>
    <row r="75" spans="1:32" x14ac:dyDescent="0.25">
      <c r="A75" s="4" t="s">
        <v>61</v>
      </c>
      <c r="B75" s="1">
        <v>34</v>
      </c>
      <c r="X75" s="1">
        <v>2.7055199999999999</v>
      </c>
      <c r="Y75" s="1">
        <v>3.3319999999999794E-2</v>
      </c>
      <c r="Z75" s="1">
        <v>23</v>
      </c>
      <c r="AA75" s="1">
        <v>10</v>
      </c>
      <c r="AC75" t="s">
        <v>32</v>
      </c>
      <c r="AD75">
        <v>2019</v>
      </c>
      <c r="AE75" t="s">
        <v>33</v>
      </c>
      <c r="AF75" t="s">
        <v>97</v>
      </c>
    </row>
    <row r="76" spans="1:32" x14ac:dyDescent="0.25">
      <c r="A76" s="4" t="s">
        <v>61</v>
      </c>
      <c r="B76" s="1">
        <v>34</v>
      </c>
      <c r="X76" s="1">
        <v>2.6526000000000001</v>
      </c>
      <c r="Y76" s="1">
        <v>3.3319999999999794E-2</v>
      </c>
      <c r="Z76" s="1">
        <v>32</v>
      </c>
      <c r="AA76" s="1">
        <v>10</v>
      </c>
      <c r="AC76" t="s">
        <v>32</v>
      </c>
      <c r="AD76">
        <v>2019</v>
      </c>
      <c r="AE76" t="s">
        <v>33</v>
      </c>
      <c r="AF76" t="s">
        <v>97</v>
      </c>
    </row>
    <row r="77" spans="1:32" x14ac:dyDescent="0.25">
      <c r="A77" s="4" t="s">
        <v>61</v>
      </c>
      <c r="B77" s="1">
        <v>34</v>
      </c>
      <c r="X77" s="1">
        <v>2.51736</v>
      </c>
      <c r="Y77" s="1">
        <v>3.3319999999999794E-2</v>
      </c>
      <c r="Z77" s="1">
        <v>18</v>
      </c>
      <c r="AA77" s="1">
        <v>10</v>
      </c>
      <c r="AC77" t="s">
        <v>32</v>
      </c>
      <c r="AD77">
        <v>2019</v>
      </c>
      <c r="AE77" t="s">
        <v>33</v>
      </c>
      <c r="AF77" t="s">
        <v>97</v>
      </c>
    </row>
    <row r="78" spans="1:32" hidden="1" x14ac:dyDescent="0.25">
      <c r="A78" s="4" t="s">
        <v>91</v>
      </c>
      <c r="B78" s="1">
        <v>20</v>
      </c>
      <c r="C78" s="1">
        <v>20</v>
      </c>
      <c r="D78" s="1">
        <v>50</v>
      </c>
      <c r="E78" s="1">
        <f>D78/(C78*L78)</f>
        <v>0.13089005235602094</v>
      </c>
      <c r="L78" s="1">
        <v>19.100000000000001</v>
      </c>
      <c r="M78" s="1">
        <v>0.19</v>
      </c>
      <c r="T78" s="1">
        <v>0.52800000000000002</v>
      </c>
      <c r="V78" s="1">
        <v>0.42570000000000002</v>
      </c>
      <c r="W78" s="1">
        <v>9.1999999999999998E-3</v>
      </c>
      <c r="X78" s="1">
        <f>1.8 + 1.96 *V78</f>
        <v>2.6343719999999999</v>
      </c>
      <c r="Y78" s="1">
        <f>1.8 + 1.96 *(W78 +V78) - X78</f>
        <v>1.803200000000027E-2</v>
      </c>
      <c r="AC78" t="s">
        <v>32</v>
      </c>
      <c r="AD78">
        <v>2012</v>
      </c>
      <c r="AE78" t="s">
        <v>33</v>
      </c>
      <c r="AF78" t="s">
        <v>113</v>
      </c>
    </row>
    <row r="79" spans="1:32" hidden="1" x14ac:dyDescent="0.25">
      <c r="A79" s="4" t="s">
        <v>91</v>
      </c>
      <c r="B79" s="1">
        <v>20</v>
      </c>
      <c r="C79" s="1">
        <v>40</v>
      </c>
      <c r="D79" s="1">
        <v>100</v>
      </c>
      <c r="E79" s="1">
        <f>D79/(C79*L79)</f>
        <v>0.125</v>
      </c>
      <c r="L79" s="1">
        <v>20</v>
      </c>
      <c r="M79" s="1">
        <v>0.18</v>
      </c>
      <c r="T79" s="1">
        <v>0.36199999999999999</v>
      </c>
      <c r="V79" s="1">
        <v>0.45390000000000003</v>
      </c>
      <c r="W79" s="1">
        <v>9.1999999999999998E-3</v>
      </c>
      <c r="X79" s="1">
        <f>1.8 + 1.96 *V79</f>
        <v>2.6896439999999999</v>
      </c>
      <c r="Y79" s="1">
        <f>1.8 + 1.96 *(W79 +V79) - X79</f>
        <v>1.803200000000027E-2</v>
      </c>
      <c r="AC79" t="s">
        <v>32</v>
      </c>
      <c r="AD79">
        <v>2012</v>
      </c>
      <c r="AE79" t="s">
        <v>33</v>
      </c>
      <c r="AF79" t="s">
        <v>113</v>
      </c>
    </row>
    <row r="80" spans="1:32" hidden="1" x14ac:dyDescent="0.25">
      <c r="A80" s="4" t="s">
        <v>70</v>
      </c>
      <c r="B80" s="1">
        <v>16</v>
      </c>
      <c r="E80" s="1">
        <f>(0.045/7)*160</f>
        <v>1.0285714285714285</v>
      </c>
      <c r="L80" s="1">
        <v>17.940000000000001</v>
      </c>
      <c r="M80" s="1">
        <v>0.32</v>
      </c>
      <c r="X80" s="1">
        <v>2.3938000000000001</v>
      </c>
      <c r="Y80" s="1">
        <v>8.49999999999973E-3</v>
      </c>
      <c r="AC80" t="s">
        <v>38</v>
      </c>
      <c r="AD80">
        <v>2001</v>
      </c>
      <c r="AE80" t="s">
        <v>39</v>
      </c>
      <c r="AF80" t="s">
        <v>114</v>
      </c>
    </row>
    <row r="81" spans="1:32" hidden="1" x14ac:dyDescent="0.25">
      <c r="A81" s="4" t="s">
        <v>70</v>
      </c>
      <c r="B81" s="1">
        <v>26</v>
      </c>
      <c r="E81" s="1">
        <f>(0.045/7*160)</f>
        <v>1.0285714285714285</v>
      </c>
      <c r="L81" s="1">
        <v>7.41</v>
      </c>
      <c r="M81" s="1">
        <v>0.1</v>
      </c>
      <c r="X81" s="1">
        <v>2.2442000000000002</v>
      </c>
      <c r="Y81" s="1">
        <v>8.49999999999973E-3</v>
      </c>
      <c r="AC81" t="s">
        <v>38</v>
      </c>
      <c r="AD81">
        <v>2001</v>
      </c>
      <c r="AE81" t="s">
        <v>39</v>
      </c>
      <c r="AF81" t="s">
        <v>115</v>
      </c>
    </row>
    <row r="82" spans="1:32" hidden="1" x14ac:dyDescent="0.25">
      <c r="A82" s="4" t="s">
        <v>70</v>
      </c>
      <c r="B82" s="1">
        <v>16</v>
      </c>
      <c r="E82" s="1">
        <f t="shared" ref="E82:E97" si="3">(0.045/7*160)</f>
        <v>1.0285714285714285</v>
      </c>
      <c r="L82" s="1">
        <v>18.27</v>
      </c>
      <c r="M82" s="1">
        <v>0.25</v>
      </c>
      <c r="X82" s="1">
        <v>2.3835999999999999</v>
      </c>
      <c r="Y82" s="1">
        <v>8.5000000000001741E-3</v>
      </c>
      <c r="AC82" t="s">
        <v>38</v>
      </c>
      <c r="AD82">
        <v>2001</v>
      </c>
      <c r="AE82" t="s">
        <v>39</v>
      </c>
      <c r="AF82" t="s">
        <v>116</v>
      </c>
    </row>
    <row r="83" spans="1:32" hidden="1" x14ac:dyDescent="0.25">
      <c r="A83" s="4" t="s">
        <v>70</v>
      </c>
      <c r="B83" s="1">
        <v>26</v>
      </c>
      <c r="E83" s="1">
        <f t="shared" si="3"/>
        <v>1.0285714285714285</v>
      </c>
      <c r="L83" s="1">
        <v>7.86</v>
      </c>
      <c r="M83" s="1">
        <v>0.16</v>
      </c>
      <c r="X83" s="1">
        <v>2.2204000000000002</v>
      </c>
      <c r="Y83" s="1">
        <v>6.7999999999996952E-3</v>
      </c>
      <c r="AC83" t="s">
        <v>38</v>
      </c>
      <c r="AD83">
        <v>2001</v>
      </c>
      <c r="AE83" t="s">
        <v>39</v>
      </c>
      <c r="AF83" t="s">
        <v>117</v>
      </c>
    </row>
    <row r="84" spans="1:32" hidden="1" x14ac:dyDescent="0.25">
      <c r="A84" s="4" t="s">
        <v>70</v>
      </c>
      <c r="B84" s="1">
        <v>16</v>
      </c>
      <c r="E84" s="1">
        <f t="shared" si="3"/>
        <v>1.0285714285714285</v>
      </c>
      <c r="L84" s="1">
        <v>17.5</v>
      </c>
      <c r="M84" s="1">
        <v>0.25</v>
      </c>
      <c r="X84" s="1">
        <v>2.3835999999999999</v>
      </c>
      <c r="Y84" s="1">
        <v>8.5000000000001741E-3</v>
      </c>
      <c r="AC84" t="s">
        <v>38</v>
      </c>
      <c r="AD84">
        <v>2001</v>
      </c>
      <c r="AE84" t="s">
        <v>39</v>
      </c>
      <c r="AF84" t="s">
        <v>118</v>
      </c>
    </row>
    <row r="85" spans="1:32" hidden="1" x14ac:dyDescent="0.25">
      <c r="A85" s="4" t="s">
        <v>70</v>
      </c>
      <c r="B85" s="1">
        <v>26</v>
      </c>
      <c r="E85" s="1">
        <f t="shared" si="3"/>
        <v>1.0285714285714285</v>
      </c>
      <c r="L85" s="1">
        <v>7.58</v>
      </c>
      <c r="M85" s="1">
        <v>0.16500000000000001</v>
      </c>
      <c r="X85" s="1">
        <v>2.2374000000000001</v>
      </c>
      <c r="Y85" s="1">
        <v>8.49999999999973E-3</v>
      </c>
      <c r="AC85" t="s">
        <v>38</v>
      </c>
      <c r="AD85">
        <v>2001</v>
      </c>
      <c r="AE85" t="s">
        <v>39</v>
      </c>
      <c r="AF85" t="s">
        <v>119</v>
      </c>
    </row>
    <row r="86" spans="1:32" hidden="1" x14ac:dyDescent="0.25">
      <c r="A86" s="4" t="s">
        <v>70</v>
      </c>
      <c r="B86" s="1">
        <v>16</v>
      </c>
      <c r="E86" s="1">
        <f t="shared" si="3"/>
        <v>1.0285714285714285</v>
      </c>
      <c r="L86" s="1">
        <v>18.78</v>
      </c>
      <c r="M86" s="1">
        <v>0.36499999999999999</v>
      </c>
      <c r="X86" s="1">
        <v>2.3904000000000001</v>
      </c>
      <c r="Y86" s="1">
        <v>8.5000000000001741E-3</v>
      </c>
      <c r="AC86" t="s">
        <v>38</v>
      </c>
      <c r="AD86">
        <v>2001</v>
      </c>
      <c r="AE86" t="s">
        <v>39</v>
      </c>
      <c r="AF86" t="s">
        <v>120</v>
      </c>
    </row>
    <row r="87" spans="1:32" hidden="1" x14ac:dyDescent="0.25">
      <c r="A87" s="4" t="s">
        <v>70</v>
      </c>
      <c r="B87" s="1">
        <v>26</v>
      </c>
      <c r="E87" s="1">
        <f t="shared" si="3"/>
        <v>1.0285714285714285</v>
      </c>
      <c r="L87" s="1">
        <v>7.92</v>
      </c>
      <c r="M87" s="1">
        <v>0.24</v>
      </c>
      <c r="X87" s="1">
        <v>2.2646000000000002</v>
      </c>
      <c r="Y87" s="1">
        <v>8.49999999999973E-3</v>
      </c>
      <c r="AC87" t="s">
        <v>38</v>
      </c>
      <c r="AD87">
        <v>2001</v>
      </c>
      <c r="AE87" t="s">
        <v>39</v>
      </c>
      <c r="AF87" t="s">
        <v>121</v>
      </c>
    </row>
    <row r="88" spans="1:32" hidden="1" x14ac:dyDescent="0.25">
      <c r="A88" s="4" t="s">
        <v>70</v>
      </c>
      <c r="B88" s="1">
        <v>16</v>
      </c>
      <c r="E88" s="1">
        <f t="shared" si="3"/>
        <v>1.0285714285714285</v>
      </c>
      <c r="L88" s="1">
        <v>17.48</v>
      </c>
      <c r="M88" s="1">
        <v>0.17</v>
      </c>
      <c r="X88" s="1">
        <v>2.3972000000000002</v>
      </c>
      <c r="Y88" s="1">
        <v>6.800000000000006E-2</v>
      </c>
      <c r="AC88" t="s">
        <v>38</v>
      </c>
      <c r="AD88">
        <v>2001</v>
      </c>
      <c r="AE88" t="s">
        <v>39</v>
      </c>
      <c r="AF88" t="s">
        <v>122</v>
      </c>
    </row>
    <row r="89" spans="1:32" hidden="1" x14ac:dyDescent="0.25">
      <c r="A89" s="4" t="s">
        <v>70</v>
      </c>
      <c r="B89" s="1">
        <v>26</v>
      </c>
      <c r="E89" s="1">
        <f t="shared" si="3"/>
        <v>1.0285714285714285</v>
      </c>
      <c r="L89" s="1">
        <v>7.62</v>
      </c>
      <c r="M89" s="1">
        <v>0.11</v>
      </c>
      <c r="X89" s="1">
        <v>2.2646000000000002</v>
      </c>
      <c r="Y89" s="1">
        <v>6.800000000000006E-2</v>
      </c>
      <c r="AC89" t="s">
        <v>38</v>
      </c>
      <c r="AD89">
        <v>2001</v>
      </c>
      <c r="AE89" t="s">
        <v>39</v>
      </c>
      <c r="AF89" t="s">
        <v>123</v>
      </c>
    </row>
    <row r="90" spans="1:32" hidden="1" x14ac:dyDescent="0.25">
      <c r="A90" s="4" t="s">
        <v>70</v>
      </c>
      <c r="B90" s="1">
        <v>16</v>
      </c>
      <c r="E90" s="1">
        <f t="shared" si="3"/>
        <v>1.0285714285714285</v>
      </c>
      <c r="L90" s="1">
        <v>17.77</v>
      </c>
      <c r="M90" s="1">
        <v>0.255</v>
      </c>
      <c r="X90" s="1">
        <v>2.3938000000000001</v>
      </c>
      <c r="Y90" s="1">
        <v>6.800000000000006E-2</v>
      </c>
      <c r="AC90" t="s">
        <v>38</v>
      </c>
      <c r="AD90">
        <v>2001</v>
      </c>
      <c r="AE90" t="s">
        <v>39</v>
      </c>
      <c r="AF90" t="s">
        <v>124</v>
      </c>
    </row>
    <row r="91" spans="1:32" hidden="1" x14ac:dyDescent="0.25">
      <c r="A91" s="4" t="s">
        <v>70</v>
      </c>
      <c r="B91" s="1">
        <v>26</v>
      </c>
      <c r="E91" s="1">
        <f t="shared" si="3"/>
        <v>1.0285714285714285</v>
      </c>
      <c r="L91" s="1">
        <v>7.52</v>
      </c>
      <c r="M91" s="1">
        <v>0.13</v>
      </c>
      <c r="X91" s="1">
        <v>2.2578</v>
      </c>
      <c r="Y91" s="1">
        <v>8.5000000000001741E-3</v>
      </c>
      <c r="AC91" t="s">
        <v>38</v>
      </c>
      <c r="AD91">
        <v>2001</v>
      </c>
      <c r="AE91" t="s">
        <v>39</v>
      </c>
      <c r="AF91" t="s">
        <v>125</v>
      </c>
    </row>
    <row r="92" spans="1:32" hidden="1" x14ac:dyDescent="0.25">
      <c r="A92" s="4" t="s">
        <v>70</v>
      </c>
      <c r="B92" s="1">
        <v>16</v>
      </c>
      <c r="E92" s="1">
        <f t="shared" si="3"/>
        <v>1.0285714285714285</v>
      </c>
      <c r="L92" s="1">
        <v>18.16</v>
      </c>
      <c r="M92" s="1">
        <v>0.20499999999999999</v>
      </c>
      <c r="X92" s="1">
        <v>2.3801999999999999</v>
      </c>
      <c r="Y92" s="1">
        <v>8.5000000000001741E-3</v>
      </c>
      <c r="AC92" t="s">
        <v>38</v>
      </c>
      <c r="AD92">
        <v>2001</v>
      </c>
      <c r="AE92" t="s">
        <v>39</v>
      </c>
      <c r="AF92" t="s">
        <v>126</v>
      </c>
    </row>
    <row r="93" spans="1:32" hidden="1" x14ac:dyDescent="0.25">
      <c r="A93" s="4" t="s">
        <v>70</v>
      </c>
      <c r="B93" s="1">
        <v>26</v>
      </c>
      <c r="E93" s="1">
        <f t="shared" si="3"/>
        <v>1.0285714285714285</v>
      </c>
      <c r="L93" s="1">
        <v>7.38</v>
      </c>
      <c r="M93" s="1">
        <v>0.13</v>
      </c>
      <c r="X93" s="1">
        <v>2.2101999999999999</v>
      </c>
      <c r="Y93" s="1">
        <v>8.5000000000001741E-3</v>
      </c>
      <c r="AC93" t="s">
        <v>38</v>
      </c>
      <c r="AD93">
        <v>2001</v>
      </c>
      <c r="AE93" t="s">
        <v>39</v>
      </c>
      <c r="AF93" t="s">
        <v>127</v>
      </c>
    </row>
    <row r="94" spans="1:32" hidden="1" x14ac:dyDescent="0.25">
      <c r="A94" s="4" t="s">
        <v>70</v>
      </c>
      <c r="B94" s="1">
        <v>16</v>
      </c>
      <c r="E94" s="1">
        <f t="shared" si="3"/>
        <v>1.0285714285714285</v>
      </c>
      <c r="L94" s="1">
        <v>17.84</v>
      </c>
      <c r="M94" s="1">
        <v>0.20499999999999999</v>
      </c>
      <c r="X94" s="1">
        <v>2.4414000000000002</v>
      </c>
      <c r="Y94" s="1">
        <v>8.49999999999973E-3</v>
      </c>
      <c r="AC94" t="s">
        <v>38</v>
      </c>
      <c r="AD94">
        <v>2001</v>
      </c>
      <c r="AE94" t="s">
        <v>39</v>
      </c>
      <c r="AF94" t="s">
        <v>128</v>
      </c>
    </row>
    <row r="95" spans="1:32" hidden="1" x14ac:dyDescent="0.25">
      <c r="A95" s="4" t="s">
        <v>70</v>
      </c>
      <c r="B95" s="1">
        <v>26</v>
      </c>
      <c r="E95" s="1">
        <f t="shared" si="3"/>
        <v>1.0285714285714285</v>
      </c>
      <c r="L95" s="1">
        <v>7.13</v>
      </c>
      <c r="M95" s="1">
        <v>9.5000000000000001E-2</v>
      </c>
      <c r="X95" s="1">
        <v>2.3088000000000002</v>
      </c>
      <c r="Y95" s="1">
        <v>6.800000000000006E-2</v>
      </c>
      <c r="AC95" t="s">
        <v>38</v>
      </c>
      <c r="AD95">
        <v>2001</v>
      </c>
      <c r="AE95" t="s">
        <v>39</v>
      </c>
      <c r="AF95" t="s">
        <v>129</v>
      </c>
    </row>
    <row r="96" spans="1:32" hidden="1" x14ac:dyDescent="0.25">
      <c r="A96" s="4" t="s">
        <v>70</v>
      </c>
      <c r="B96" s="1">
        <v>16</v>
      </c>
      <c r="E96" s="1">
        <f t="shared" si="3"/>
        <v>1.0285714285714285</v>
      </c>
      <c r="L96" s="1">
        <v>17.53</v>
      </c>
      <c r="M96" s="1">
        <v>0.20499999999999999</v>
      </c>
      <c r="X96" s="1">
        <v>2.4244000000000003</v>
      </c>
      <c r="Y96" s="1">
        <v>5.0999999999996604E-3</v>
      </c>
      <c r="AC96" t="s">
        <v>38</v>
      </c>
      <c r="AD96">
        <v>2001</v>
      </c>
      <c r="AE96" t="s">
        <v>39</v>
      </c>
      <c r="AF96" t="s">
        <v>130</v>
      </c>
    </row>
    <row r="97" spans="1:32" hidden="1" x14ac:dyDescent="0.25">
      <c r="A97" s="4" t="s">
        <v>70</v>
      </c>
      <c r="B97" s="1">
        <v>26</v>
      </c>
      <c r="E97" s="1">
        <f t="shared" si="3"/>
        <v>1.0285714285714285</v>
      </c>
      <c r="L97" s="1">
        <v>7.14</v>
      </c>
      <c r="M97" s="1">
        <v>7.0000000000000007E-2</v>
      </c>
      <c r="X97" s="1">
        <v>2.2765</v>
      </c>
      <c r="Y97" s="1">
        <v>8.5000000000001741E-3</v>
      </c>
      <c r="AC97" t="s">
        <v>38</v>
      </c>
      <c r="AD97">
        <v>2001</v>
      </c>
      <c r="AE97" t="s">
        <v>39</v>
      </c>
      <c r="AF97" t="s">
        <v>131</v>
      </c>
    </row>
    <row r="98" spans="1:32" hidden="1" x14ac:dyDescent="0.25">
      <c r="A98" s="4" t="s">
        <v>71</v>
      </c>
      <c r="B98" s="1">
        <v>28</v>
      </c>
      <c r="E98" s="1">
        <v>0.4</v>
      </c>
      <c r="H98" s="1">
        <v>5.6</v>
      </c>
      <c r="I98" s="1">
        <v>1.6E-2</v>
      </c>
      <c r="P98" s="1">
        <v>0.91700000000000004</v>
      </c>
      <c r="Q98" s="1">
        <v>2.7E-2</v>
      </c>
      <c r="AC98" t="s">
        <v>40</v>
      </c>
      <c r="AD98">
        <v>2009</v>
      </c>
      <c r="AE98" t="s">
        <v>36</v>
      </c>
      <c r="AF98" t="s">
        <v>132</v>
      </c>
    </row>
    <row r="99" spans="1:32" hidden="1" x14ac:dyDescent="0.25">
      <c r="A99" s="4" t="s">
        <v>71</v>
      </c>
      <c r="B99" s="1">
        <v>28</v>
      </c>
      <c r="E99" s="1">
        <v>0.6</v>
      </c>
      <c r="H99" s="1">
        <v>5.09</v>
      </c>
      <c r="I99" s="1">
        <v>2.1999999999999999E-2</v>
      </c>
      <c r="P99" s="1">
        <v>0.90800000000000003</v>
      </c>
      <c r="Q99" s="1">
        <v>2.3E-2</v>
      </c>
      <c r="AC99" t="s">
        <v>40</v>
      </c>
      <c r="AD99">
        <v>2009</v>
      </c>
      <c r="AE99" t="s">
        <v>36</v>
      </c>
      <c r="AF99" t="s">
        <v>132</v>
      </c>
    </row>
    <row r="100" spans="1:32" hidden="1" x14ac:dyDescent="0.25">
      <c r="A100" s="4" t="s">
        <v>71</v>
      </c>
      <c r="B100" s="1">
        <v>28</v>
      </c>
      <c r="E100" s="1">
        <v>0.8</v>
      </c>
      <c r="H100" s="1">
        <v>5.22</v>
      </c>
      <c r="I100" s="1">
        <v>0.24199999999999999</v>
      </c>
      <c r="P100" s="1">
        <v>0.83899999999999997</v>
      </c>
      <c r="Q100" s="1">
        <v>3.9E-2</v>
      </c>
      <c r="AC100" t="s">
        <v>40</v>
      </c>
      <c r="AD100">
        <v>2009</v>
      </c>
      <c r="AE100" t="s">
        <v>36</v>
      </c>
      <c r="AF100" t="s">
        <v>132</v>
      </c>
    </row>
    <row r="101" spans="1:32" hidden="1" x14ac:dyDescent="0.25">
      <c r="A101" s="4" t="s">
        <v>71</v>
      </c>
      <c r="B101" s="1">
        <v>28</v>
      </c>
      <c r="E101" s="1">
        <v>1</v>
      </c>
      <c r="H101" s="1">
        <v>5.38</v>
      </c>
      <c r="I101" s="1">
        <v>0.14000000000000001</v>
      </c>
      <c r="P101" s="1">
        <v>0.61099999999999999</v>
      </c>
      <c r="Q101" s="1">
        <v>8.5000000000000006E-2</v>
      </c>
      <c r="AC101" t="s">
        <v>40</v>
      </c>
      <c r="AD101">
        <v>2009</v>
      </c>
      <c r="AE101" t="s">
        <v>36</v>
      </c>
      <c r="AF101" t="s">
        <v>132</v>
      </c>
    </row>
    <row r="102" spans="1:32" hidden="1" x14ac:dyDescent="0.25">
      <c r="A102" s="4" t="s">
        <v>71</v>
      </c>
      <c r="B102" s="1">
        <v>28</v>
      </c>
      <c r="E102" s="1">
        <v>0.27</v>
      </c>
      <c r="H102" s="1">
        <v>5.72</v>
      </c>
      <c r="I102" s="1">
        <v>0.13200000000000001</v>
      </c>
      <c r="P102" s="1">
        <v>0.96</v>
      </c>
      <c r="Q102" s="1">
        <v>1.2E-2</v>
      </c>
      <c r="AC102" t="s">
        <v>40</v>
      </c>
      <c r="AD102">
        <v>2009</v>
      </c>
      <c r="AE102" t="s">
        <v>36</v>
      </c>
      <c r="AF102" t="s">
        <v>132</v>
      </c>
    </row>
    <row r="103" spans="1:32" hidden="1" x14ac:dyDescent="0.25">
      <c r="A103" s="4" t="s">
        <v>71</v>
      </c>
      <c r="B103" s="1">
        <v>28</v>
      </c>
      <c r="E103" s="1">
        <v>0.4</v>
      </c>
      <c r="H103" s="1">
        <v>5.6379999999999999</v>
      </c>
      <c r="I103" s="1">
        <v>0.14000000000000001</v>
      </c>
      <c r="P103" s="1">
        <v>0.89</v>
      </c>
      <c r="Q103" s="1">
        <v>0.05</v>
      </c>
      <c r="AC103" t="s">
        <v>40</v>
      </c>
      <c r="AD103">
        <v>2009</v>
      </c>
      <c r="AE103" t="s">
        <v>36</v>
      </c>
      <c r="AF103" t="s">
        <v>132</v>
      </c>
    </row>
    <row r="104" spans="1:32" hidden="1" x14ac:dyDescent="0.25">
      <c r="A104" s="4" t="s">
        <v>71</v>
      </c>
      <c r="B104" s="1">
        <v>28</v>
      </c>
      <c r="E104" s="1">
        <v>0.53</v>
      </c>
      <c r="H104" s="1">
        <v>5.2069999999999999</v>
      </c>
      <c r="I104" s="1">
        <v>0.1</v>
      </c>
      <c r="P104" s="1">
        <v>0.80700000000000005</v>
      </c>
      <c r="Q104" s="1">
        <v>0.93300000000000005</v>
      </c>
      <c r="AC104" t="s">
        <v>40</v>
      </c>
      <c r="AD104">
        <v>2009</v>
      </c>
      <c r="AE104" t="s">
        <v>36</v>
      </c>
      <c r="AF104" t="s">
        <v>132</v>
      </c>
    </row>
    <row r="105" spans="1:32" hidden="1" x14ac:dyDescent="0.25">
      <c r="A105" s="4" t="s">
        <v>71</v>
      </c>
      <c r="B105" s="1">
        <v>28</v>
      </c>
      <c r="E105" s="1">
        <v>0.67</v>
      </c>
      <c r="H105" s="1">
        <v>5.3390000000000004</v>
      </c>
      <c r="I105" s="1">
        <v>0.219</v>
      </c>
      <c r="P105" s="1">
        <v>0.61599999999999999</v>
      </c>
      <c r="Q105" s="1">
        <v>0.124</v>
      </c>
      <c r="AC105" t="s">
        <v>40</v>
      </c>
      <c r="AD105">
        <v>2009</v>
      </c>
      <c r="AE105" t="s">
        <v>36</v>
      </c>
      <c r="AF105" t="s">
        <v>132</v>
      </c>
    </row>
    <row r="106" spans="1:32" hidden="1" x14ac:dyDescent="0.25">
      <c r="A106" s="4" t="s">
        <v>71</v>
      </c>
      <c r="B106" s="1">
        <v>28</v>
      </c>
      <c r="E106" s="1">
        <v>0.2</v>
      </c>
      <c r="H106" s="1">
        <v>6.5</v>
      </c>
      <c r="I106" s="1">
        <v>0.22700000000000001</v>
      </c>
      <c r="P106" s="1">
        <v>0.90800000000000003</v>
      </c>
      <c r="Q106" s="1">
        <v>5.1999999999999998E-2</v>
      </c>
      <c r="AC106" t="s">
        <v>40</v>
      </c>
      <c r="AD106">
        <v>2009</v>
      </c>
      <c r="AE106" t="s">
        <v>36</v>
      </c>
      <c r="AF106" t="s">
        <v>132</v>
      </c>
    </row>
    <row r="107" spans="1:32" hidden="1" x14ac:dyDescent="0.25">
      <c r="A107" s="4" t="s">
        <v>71</v>
      </c>
      <c r="B107" s="1">
        <v>28</v>
      </c>
      <c r="E107" s="1">
        <v>0.3</v>
      </c>
      <c r="H107" s="1">
        <v>5.91</v>
      </c>
      <c r="I107" s="1">
        <v>6.6000000000000003E-2</v>
      </c>
      <c r="P107" s="1">
        <v>0.91200000000000003</v>
      </c>
      <c r="Q107" s="1">
        <v>4.2000000000000003E-2</v>
      </c>
      <c r="AC107" t="s">
        <v>40</v>
      </c>
      <c r="AD107">
        <v>2009</v>
      </c>
      <c r="AE107" t="s">
        <v>36</v>
      </c>
      <c r="AF107" t="s">
        <v>132</v>
      </c>
    </row>
    <row r="108" spans="1:32" hidden="1" x14ac:dyDescent="0.25">
      <c r="A108" s="4" t="s">
        <v>71</v>
      </c>
      <c r="B108" s="1">
        <v>28</v>
      </c>
      <c r="E108" s="1">
        <v>0.4</v>
      </c>
      <c r="H108" s="1">
        <v>5.4240000000000004</v>
      </c>
      <c r="I108" s="1">
        <v>0.08</v>
      </c>
      <c r="P108" s="1">
        <v>0.88700000000000001</v>
      </c>
      <c r="Q108" s="1">
        <v>1.0999999999999999E-2</v>
      </c>
      <c r="AC108" t="s">
        <v>40</v>
      </c>
      <c r="AD108">
        <v>2009</v>
      </c>
      <c r="AE108" t="s">
        <v>36</v>
      </c>
      <c r="AF108" t="s">
        <v>132</v>
      </c>
    </row>
    <row r="109" spans="1:32" hidden="1" x14ac:dyDescent="0.25">
      <c r="A109" s="4" t="s">
        <v>71</v>
      </c>
      <c r="B109" s="1">
        <v>28</v>
      </c>
      <c r="E109" s="1">
        <v>0.5</v>
      </c>
      <c r="H109" s="1">
        <v>5.42</v>
      </c>
      <c r="I109" s="1">
        <v>0.29699999999999999</v>
      </c>
      <c r="P109" s="1">
        <v>0.8</v>
      </c>
      <c r="Q109" s="1">
        <v>3.2099999999999997E-2</v>
      </c>
      <c r="AC109" t="s">
        <v>40</v>
      </c>
      <c r="AD109">
        <v>2009</v>
      </c>
      <c r="AE109" t="s">
        <v>36</v>
      </c>
      <c r="AF109" t="s">
        <v>132</v>
      </c>
    </row>
    <row r="110" spans="1:32" hidden="1" x14ac:dyDescent="0.25">
      <c r="A110" s="4" t="s">
        <v>71</v>
      </c>
      <c r="B110" s="1">
        <v>28</v>
      </c>
      <c r="E110" s="1">
        <v>0.16</v>
      </c>
      <c r="H110" s="1">
        <v>6.9669999999999996</v>
      </c>
      <c r="I110" s="1">
        <v>3.3000000000000002E-2</v>
      </c>
      <c r="P110" s="1">
        <v>0.90500000000000003</v>
      </c>
      <c r="Q110" s="1">
        <v>1.2E-2</v>
      </c>
      <c r="AC110" t="s">
        <v>40</v>
      </c>
      <c r="AD110">
        <v>2009</v>
      </c>
      <c r="AE110" t="s">
        <v>36</v>
      </c>
      <c r="AF110" t="s">
        <v>132</v>
      </c>
    </row>
    <row r="111" spans="1:32" hidden="1" x14ac:dyDescent="0.25">
      <c r="A111" s="4" t="s">
        <v>71</v>
      </c>
      <c r="B111" s="1">
        <v>28</v>
      </c>
      <c r="E111" s="1">
        <v>0.24</v>
      </c>
      <c r="H111" s="1">
        <v>6.2930000000000001</v>
      </c>
      <c r="I111" s="1">
        <v>0.05</v>
      </c>
      <c r="P111" s="1">
        <v>0.86399999999999999</v>
      </c>
      <c r="Q111" s="1">
        <v>3.4000000000000002E-2</v>
      </c>
      <c r="AC111" t="s">
        <v>40</v>
      </c>
      <c r="AD111">
        <v>2009</v>
      </c>
      <c r="AE111" t="s">
        <v>36</v>
      </c>
      <c r="AF111" t="s">
        <v>132</v>
      </c>
    </row>
    <row r="112" spans="1:32" hidden="1" x14ac:dyDescent="0.25">
      <c r="A112" s="4" t="s">
        <v>71</v>
      </c>
      <c r="B112" s="1">
        <v>28</v>
      </c>
      <c r="E112" s="1">
        <v>0.32</v>
      </c>
      <c r="H112" s="1">
        <v>5.63</v>
      </c>
      <c r="I112" s="1">
        <v>0.15</v>
      </c>
      <c r="P112" s="1">
        <v>0.80200000000000005</v>
      </c>
      <c r="Q112" s="1">
        <v>8.5000000000000006E-2</v>
      </c>
      <c r="AC112" t="s">
        <v>40</v>
      </c>
      <c r="AD112">
        <v>2009</v>
      </c>
      <c r="AE112" t="s">
        <v>36</v>
      </c>
      <c r="AF112" t="s">
        <v>132</v>
      </c>
    </row>
    <row r="113" spans="1:32" hidden="1" x14ac:dyDescent="0.25">
      <c r="A113" s="4" t="s">
        <v>71</v>
      </c>
      <c r="B113" s="1">
        <v>28</v>
      </c>
      <c r="E113" s="1">
        <v>0.4</v>
      </c>
      <c r="H113" s="1">
        <v>5.61</v>
      </c>
      <c r="I113" s="1">
        <v>0.17</v>
      </c>
      <c r="P113" s="1">
        <v>0.80700000000000005</v>
      </c>
      <c r="Q113" s="1">
        <v>7.3999999999999996E-2</v>
      </c>
      <c r="AC113" t="s">
        <v>40</v>
      </c>
      <c r="AD113">
        <v>2009</v>
      </c>
      <c r="AE113" t="s">
        <v>36</v>
      </c>
      <c r="AF113" t="s">
        <v>132</v>
      </c>
    </row>
    <row r="114" spans="1:32" hidden="1" x14ac:dyDescent="0.25">
      <c r="A114" s="4" t="s">
        <v>41</v>
      </c>
      <c r="B114" s="1">
        <v>28</v>
      </c>
      <c r="C114" s="1">
        <v>1</v>
      </c>
      <c r="E114" s="1">
        <v>2</v>
      </c>
      <c r="H114" s="1">
        <v>8.25</v>
      </c>
      <c r="I114" s="1">
        <v>2.41</v>
      </c>
      <c r="AC114" t="s">
        <v>32</v>
      </c>
      <c r="AD114">
        <v>2012</v>
      </c>
      <c r="AE114" t="s">
        <v>36</v>
      </c>
      <c r="AF114" t="s">
        <v>133</v>
      </c>
    </row>
    <row r="115" spans="1:32" hidden="1" x14ac:dyDescent="0.25">
      <c r="A115" s="4" t="s">
        <v>41</v>
      </c>
      <c r="B115" s="1">
        <v>28</v>
      </c>
      <c r="C115" s="1">
        <v>21</v>
      </c>
      <c r="E115" s="1">
        <v>9.5238095238095233E-2</v>
      </c>
      <c r="H115" s="1">
        <v>10.25</v>
      </c>
      <c r="I115" s="1">
        <v>4.9000000000000004</v>
      </c>
      <c r="AC115" t="s">
        <v>32</v>
      </c>
      <c r="AD115">
        <v>2012</v>
      </c>
      <c r="AE115" t="s">
        <v>36</v>
      </c>
      <c r="AF115" t="s">
        <v>134</v>
      </c>
    </row>
    <row r="116" spans="1:32" hidden="1" x14ac:dyDescent="0.25">
      <c r="A116" s="4" t="s">
        <v>41</v>
      </c>
      <c r="B116" s="1">
        <v>28</v>
      </c>
      <c r="C116" s="1">
        <v>41</v>
      </c>
      <c r="E116" s="1">
        <v>4.878048780487805E-2</v>
      </c>
      <c r="H116" s="1">
        <v>10.6</v>
      </c>
      <c r="I116" s="1">
        <v>2.4</v>
      </c>
      <c r="AC116" t="s">
        <v>32</v>
      </c>
      <c r="AD116">
        <v>2012</v>
      </c>
      <c r="AE116" t="s">
        <v>36</v>
      </c>
      <c r="AF116" t="s">
        <v>135</v>
      </c>
    </row>
    <row r="117" spans="1:32" hidden="1" x14ac:dyDescent="0.25">
      <c r="A117" s="4" t="s">
        <v>41</v>
      </c>
      <c r="B117" s="1">
        <v>28</v>
      </c>
      <c r="C117" s="1">
        <v>81</v>
      </c>
      <c r="E117" s="1">
        <v>2.4691358024691357E-2</v>
      </c>
      <c r="H117" s="1">
        <v>11.3</v>
      </c>
      <c r="I117" s="1">
        <v>1.7</v>
      </c>
      <c r="X117" s="1">
        <v>2.2999999999999998</v>
      </c>
      <c r="Y117" s="1">
        <v>5.1000000000000004E-3</v>
      </c>
      <c r="AC117" t="s">
        <v>32</v>
      </c>
      <c r="AD117">
        <v>2012</v>
      </c>
      <c r="AE117" t="s">
        <v>36</v>
      </c>
      <c r="AF117" t="s">
        <v>136</v>
      </c>
    </row>
    <row r="118" spans="1:32" hidden="1" x14ac:dyDescent="0.25">
      <c r="A118" s="4" t="s">
        <v>41</v>
      </c>
      <c r="B118" s="1">
        <v>28</v>
      </c>
      <c r="C118" s="1">
        <v>1</v>
      </c>
      <c r="E118" s="1">
        <v>1</v>
      </c>
      <c r="H118" s="1">
        <v>7.17</v>
      </c>
      <c r="I118" s="1">
        <v>0.7</v>
      </c>
      <c r="AC118" t="s">
        <v>32</v>
      </c>
      <c r="AD118">
        <v>2012</v>
      </c>
      <c r="AE118" t="s">
        <v>36</v>
      </c>
      <c r="AF118" t="s">
        <v>137</v>
      </c>
    </row>
    <row r="119" spans="1:32" hidden="1" x14ac:dyDescent="0.25">
      <c r="A119" s="4" t="s">
        <v>41</v>
      </c>
      <c r="B119" s="1">
        <v>28</v>
      </c>
      <c r="C119" s="1">
        <v>21</v>
      </c>
      <c r="E119" s="1">
        <v>0.17142857142857143</v>
      </c>
      <c r="H119" s="1">
        <v>7.71</v>
      </c>
      <c r="I119" s="1">
        <v>1.7</v>
      </c>
      <c r="AC119" t="s">
        <v>32</v>
      </c>
      <c r="AD119">
        <v>2012</v>
      </c>
      <c r="AE119" t="s">
        <v>36</v>
      </c>
      <c r="AF119" t="s">
        <v>138</v>
      </c>
    </row>
    <row r="120" spans="1:32" hidden="1" x14ac:dyDescent="0.25">
      <c r="A120" s="4" t="s">
        <v>41</v>
      </c>
      <c r="B120" s="1">
        <v>28</v>
      </c>
      <c r="C120" s="1">
        <v>41</v>
      </c>
      <c r="E120" s="1">
        <v>8.7804878048780496E-2</v>
      </c>
      <c r="H120" s="1">
        <v>7.14</v>
      </c>
      <c r="I120" s="1">
        <v>1.35</v>
      </c>
      <c r="X120" s="1">
        <v>2.4350000000000001</v>
      </c>
      <c r="Y120" s="1">
        <v>4.3E-3</v>
      </c>
      <c r="AC120" t="s">
        <v>32</v>
      </c>
      <c r="AD120">
        <v>2012</v>
      </c>
      <c r="AE120" t="s">
        <v>36</v>
      </c>
      <c r="AF120" t="s">
        <v>139</v>
      </c>
    </row>
    <row r="121" spans="1:32" hidden="1" x14ac:dyDescent="0.25">
      <c r="A121" s="4" t="s">
        <v>41</v>
      </c>
      <c r="B121" s="1">
        <v>28</v>
      </c>
      <c r="C121" s="1">
        <v>81</v>
      </c>
      <c r="E121" s="1">
        <v>4.4444444444444446E-2</v>
      </c>
      <c r="H121" s="1">
        <v>7.42</v>
      </c>
      <c r="I121" s="1">
        <v>1.1299999999999999</v>
      </c>
      <c r="AC121" t="s">
        <v>32</v>
      </c>
      <c r="AD121">
        <v>2012</v>
      </c>
      <c r="AE121" t="s">
        <v>36</v>
      </c>
      <c r="AF121" t="s">
        <v>140</v>
      </c>
    </row>
    <row r="122" spans="1:32" hidden="1" x14ac:dyDescent="0.25">
      <c r="A122" s="4" t="s">
        <v>41</v>
      </c>
      <c r="B122" s="1">
        <v>28</v>
      </c>
      <c r="C122" s="1">
        <v>1</v>
      </c>
      <c r="E122" s="1">
        <v>1</v>
      </c>
      <c r="H122" s="1">
        <v>6.12</v>
      </c>
      <c r="I122" s="1">
        <v>0.77</v>
      </c>
      <c r="X122" s="1">
        <v>2.71</v>
      </c>
      <c r="Y122" s="1">
        <v>2.7E-2</v>
      </c>
      <c r="AC122" t="s">
        <v>32</v>
      </c>
      <c r="AD122">
        <v>2012</v>
      </c>
      <c r="AE122" t="s">
        <v>36</v>
      </c>
      <c r="AF122" t="s">
        <v>141</v>
      </c>
    </row>
    <row r="123" spans="1:32" hidden="1" x14ac:dyDescent="0.25">
      <c r="A123" s="4" t="s">
        <v>41</v>
      </c>
      <c r="B123" s="1">
        <v>28</v>
      </c>
      <c r="C123" s="1">
        <v>21</v>
      </c>
      <c r="E123" s="1">
        <v>0.34285714285714286</v>
      </c>
      <c r="H123" s="1">
        <v>6.14</v>
      </c>
      <c r="I123" s="1">
        <v>0.1</v>
      </c>
      <c r="X123" s="1">
        <v>2.7</v>
      </c>
      <c r="Y123" s="1">
        <v>1.4800000000000001E-2</v>
      </c>
      <c r="AC123" t="s">
        <v>32</v>
      </c>
      <c r="AD123">
        <v>2012</v>
      </c>
      <c r="AE123" t="s">
        <v>36</v>
      </c>
      <c r="AF123" t="s">
        <v>142</v>
      </c>
    </row>
    <row r="124" spans="1:32" hidden="1" x14ac:dyDescent="0.25">
      <c r="A124" s="4" t="s">
        <v>41</v>
      </c>
      <c r="B124" s="1">
        <v>28</v>
      </c>
      <c r="C124" s="1">
        <v>41</v>
      </c>
      <c r="E124" s="1">
        <v>0.17560975609756099</v>
      </c>
      <c r="H124" s="1">
        <v>6.57</v>
      </c>
      <c r="I124" s="1">
        <v>1</v>
      </c>
      <c r="AC124" t="s">
        <v>32</v>
      </c>
      <c r="AD124">
        <v>2012</v>
      </c>
      <c r="AE124" t="s">
        <v>36</v>
      </c>
      <c r="AF124" t="s">
        <v>143</v>
      </c>
    </row>
    <row r="125" spans="1:32" hidden="1" x14ac:dyDescent="0.25">
      <c r="A125" s="4" t="s">
        <v>41</v>
      </c>
      <c r="B125" s="1">
        <v>28</v>
      </c>
      <c r="C125" s="1">
        <v>81</v>
      </c>
      <c r="E125" s="1">
        <v>8.8888888888888892E-2</v>
      </c>
      <c r="H125" s="1">
        <v>6.45</v>
      </c>
      <c r="I125" s="1">
        <v>0.28999999999999998</v>
      </c>
      <c r="X125" s="1">
        <v>2.5</v>
      </c>
      <c r="Y125" s="1">
        <v>6.0000000000000001E-3</v>
      </c>
      <c r="AC125" t="s">
        <v>32</v>
      </c>
      <c r="AD125">
        <v>2012</v>
      </c>
      <c r="AE125" t="s">
        <v>36</v>
      </c>
      <c r="AF125" t="s">
        <v>144</v>
      </c>
    </row>
    <row r="126" spans="1:32" hidden="1" x14ac:dyDescent="0.25">
      <c r="A126" s="4" t="s">
        <v>41</v>
      </c>
      <c r="B126" s="1">
        <v>28</v>
      </c>
      <c r="C126" s="1">
        <v>21</v>
      </c>
      <c r="E126" s="1">
        <v>0.95238095238095233</v>
      </c>
      <c r="H126" s="1">
        <v>5.82</v>
      </c>
      <c r="I126" s="1">
        <v>0.36</v>
      </c>
      <c r="X126" s="1">
        <v>2.6219999999999999</v>
      </c>
      <c r="Y126" s="1">
        <v>4.3499999999999997E-2</v>
      </c>
      <c r="AC126" t="s">
        <v>32</v>
      </c>
      <c r="AD126">
        <v>2012</v>
      </c>
      <c r="AE126" t="s">
        <v>36</v>
      </c>
      <c r="AF126" t="s">
        <v>145</v>
      </c>
    </row>
    <row r="127" spans="1:32" hidden="1" x14ac:dyDescent="0.25">
      <c r="A127" s="4" t="s">
        <v>41</v>
      </c>
      <c r="B127" s="1">
        <v>28</v>
      </c>
      <c r="C127" s="1">
        <v>41</v>
      </c>
      <c r="E127" s="1">
        <v>0.48780487804878048</v>
      </c>
      <c r="H127" s="1">
        <v>7.51</v>
      </c>
      <c r="I127" s="1">
        <v>1</v>
      </c>
      <c r="AC127" t="s">
        <v>32</v>
      </c>
      <c r="AD127">
        <v>2012</v>
      </c>
      <c r="AE127" t="s">
        <v>36</v>
      </c>
      <c r="AF127" t="s">
        <v>146</v>
      </c>
    </row>
    <row r="128" spans="1:32" hidden="1" x14ac:dyDescent="0.25">
      <c r="A128" s="4" t="s">
        <v>41</v>
      </c>
      <c r="B128" s="1">
        <v>28</v>
      </c>
      <c r="C128" s="1">
        <v>81</v>
      </c>
      <c r="E128" s="1">
        <v>0.24691358024691357</v>
      </c>
      <c r="H128" s="1">
        <v>5.96</v>
      </c>
      <c r="I128" s="1">
        <v>0.32</v>
      </c>
      <c r="X128" s="1">
        <v>2.63</v>
      </c>
      <c r="Y128" s="1">
        <v>6.0400000000000002E-3</v>
      </c>
      <c r="AC128" t="s">
        <v>32</v>
      </c>
      <c r="AD128">
        <v>2012</v>
      </c>
      <c r="AE128" t="s">
        <v>36</v>
      </c>
      <c r="AF128" t="s">
        <v>147</v>
      </c>
    </row>
    <row r="129" spans="1:32" hidden="1" x14ac:dyDescent="0.25">
      <c r="A129" s="4" t="s">
        <v>72</v>
      </c>
      <c r="B129" s="1">
        <v>22</v>
      </c>
      <c r="C129" s="1">
        <v>20</v>
      </c>
      <c r="E129" s="1">
        <v>1</v>
      </c>
      <c r="L129" s="1">
        <v>14</v>
      </c>
      <c r="M129" s="1">
        <v>0.16</v>
      </c>
      <c r="X129" s="1">
        <v>3.12</v>
      </c>
      <c r="Y129" s="1">
        <v>0.03</v>
      </c>
      <c r="AC129" t="s">
        <v>35</v>
      </c>
      <c r="AD129">
        <v>2018</v>
      </c>
      <c r="AE129" t="s">
        <v>34</v>
      </c>
      <c r="AF129" t="s">
        <v>148</v>
      </c>
    </row>
    <row r="130" spans="1:32" hidden="1" x14ac:dyDescent="0.25">
      <c r="A130" s="4" t="s">
        <v>72</v>
      </c>
      <c r="B130" s="1">
        <v>25</v>
      </c>
      <c r="C130" s="1">
        <v>20</v>
      </c>
      <c r="E130" s="1">
        <v>1</v>
      </c>
      <c r="L130" s="1">
        <v>10.199999999999999</v>
      </c>
      <c r="M130" s="1">
        <v>0.16</v>
      </c>
      <c r="X130" s="1">
        <v>2.91</v>
      </c>
      <c r="Y130" s="1">
        <v>0.03</v>
      </c>
      <c r="AC130" t="s">
        <v>35</v>
      </c>
      <c r="AD130">
        <v>2018</v>
      </c>
      <c r="AE130" t="s">
        <v>34</v>
      </c>
      <c r="AF130" t="s">
        <v>148</v>
      </c>
    </row>
    <row r="131" spans="1:32" hidden="1" x14ac:dyDescent="0.25">
      <c r="A131" s="4" t="s">
        <v>72</v>
      </c>
      <c r="B131" s="1">
        <v>28</v>
      </c>
      <c r="C131" s="1">
        <v>20</v>
      </c>
      <c r="E131" s="1">
        <v>1</v>
      </c>
      <c r="L131" s="1">
        <v>8.6999999999999993</v>
      </c>
      <c r="M131" s="1">
        <v>0.14000000000000001</v>
      </c>
      <c r="X131" s="1">
        <v>2.85</v>
      </c>
      <c r="Y131" s="1">
        <v>0.02</v>
      </c>
      <c r="AC131" t="s">
        <v>35</v>
      </c>
      <c r="AD131">
        <v>2018</v>
      </c>
      <c r="AE131" t="s">
        <v>34</v>
      </c>
      <c r="AF131" t="s">
        <v>148</v>
      </c>
    </row>
    <row r="132" spans="1:32" hidden="1" x14ac:dyDescent="0.25">
      <c r="A132" s="4" t="s">
        <v>73</v>
      </c>
      <c r="B132" s="1">
        <v>16</v>
      </c>
      <c r="C132" s="1">
        <v>5</v>
      </c>
      <c r="E132" s="1">
        <v>1</v>
      </c>
      <c r="L132" s="1">
        <v>22.75</v>
      </c>
      <c r="M132" s="1">
        <v>0.86</v>
      </c>
      <c r="T132" s="1">
        <v>0.86599999999999999</v>
      </c>
      <c r="U132" s="1">
        <v>2.3999999999999998E-3</v>
      </c>
      <c r="AA132" s="1"/>
      <c r="AB132"/>
      <c r="AC132" t="s">
        <v>32</v>
      </c>
      <c r="AD132">
        <v>2019</v>
      </c>
      <c r="AE132" t="s">
        <v>33</v>
      </c>
      <c r="AF132" t="s">
        <v>149</v>
      </c>
    </row>
    <row r="133" spans="1:32" hidden="1" x14ac:dyDescent="0.25">
      <c r="A133" s="4" t="s">
        <v>73</v>
      </c>
      <c r="B133" s="1">
        <v>27</v>
      </c>
      <c r="C133" s="1">
        <v>5</v>
      </c>
      <c r="E133" s="1">
        <v>1</v>
      </c>
      <c r="L133" s="1">
        <v>8.1999999999999993</v>
      </c>
      <c r="M133" s="1">
        <v>0.3</v>
      </c>
      <c r="T133" s="1">
        <v>0.08</v>
      </c>
      <c r="U133" s="1">
        <v>2.5000000000000001E-3</v>
      </c>
      <c r="AA133" s="1"/>
      <c r="AB133"/>
      <c r="AC133" t="s">
        <v>32</v>
      </c>
      <c r="AD133">
        <v>2019</v>
      </c>
      <c r="AE133" t="s">
        <v>33</v>
      </c>
      <c r="AF133" t="s">
        <v>149</v>
      </c>
    </row>
    <row r="134" spans="1:32" x14ac:dyDescent="0.25">
      <c r="A134" s="4" t="s">
        <v>74</v>
      </c>
      <c r="B134" s="1">
        <v>10</v>
      </c>
      <c r="E134" s="1">
        <v>0.56638655462184873</v>
      </c>
      <c r="H134" s="1">
        <v>11.9</v>
      </c>
      <c r="Z134" s="1">
        <v>5.7</v>
      </c>
      <c r="AA134" s="1">
        <v>20</v>
      </c>
      <c r="AB134" s="1">
        <v>20</v>
      </c>
      <c r="AC134" t="s">
        <v>40</v>
      </c>
      <c r="AD134">
        <v>2018</v>
      </c>
      <c r="AE134" t="s">
        <v>33</v>
      </c>
      <c r="AF134" t="s">
        <v>150</v>
      </c>
    </row>
    <row r="135" spans="1:32" x14ac:dyDescent="0.25">
      <c r="A135" s="4" t="s">
        <v>74</v>
      </c>
      <c r="B135" s="1">
        <v>15</v>
      </c>
      <c r="E135" s="1">
        <v>0.56638655462184873</v>
      </c>
      <c r="H135" s="1">
        <v>11.9</v>
      </c>
      <c r="Z135" s="1">
        <v>27.9</v>
      </c>
      <c r="AA135" s="1">
        <v>20</v>
      </c>
      <c r="AB135" s="1">
        <v>20</v>
      </c>
      <c r="AC135" t="s">
        <v>40</v>
      </c>
      <c r="AD135">
        <v>2018</v>
      </c>
      <c r="AE135" t="s">
        <v>33</v>
      </c>
      <c r="AF135" t="s">
        <v>151</v>
      </c>
    </row>
    <row r="136" spans="1:32" x14ac:dyDescent="0.25">
      <c r="A136" s="4" t="s">
        <v>74</v>
      </c>
      <c r="B136" s="1">
        <v>25</v>
      </c>
      <c r="E136" s="1">
        <v>0.56638655462184873</v>
      </c>
      <c r="H136" s="1">
        <v>11.9</v>
      </c>
      <c r="Z136" s="1">
        <v>64.5</v>
      </c>
      <c r="AA136" s="1">
        <v>20</v>
      </c>
      <c r="AB136" s="1">
        <v>20</v>
      </c>
      <c r="AC136" t="s">
        <v>40</v>
      </c>
      <c r="AD136">
        <v>2018</v>
      </c>
      <c r="AE136" t="s">
        <v>33</v>
      </c>
      <c r="AF136" t="s">
        <v>152</v>
      </c>
    </row>
    <row r="137" spans="1:32" x14ac:dyDescent="0.25">
      <c r="A137" s="4" t="s">
        <v>74</v>
      </c>
      <c r="B137" s="1">
        <v>30</v>
      </c>
      <c r="E137" s="1">
        <v>0.56638655462184895</v>
      </c>
      <c r="H137" s="1">
        <v>11.9</v>
      </c>
      <c r="Z137" s="1">
        <v>53.5</v>
      </c>
      <c r="AA137" s="1">
        <v>20</v>
      </c>
      <c r="AB137" s="1">
        <v>20</v>
      </c>
      <c r="AC137" t="s">
        <v>40</v>
      </c>
      <c r="AD137">
        <v>2018</v>
      </c>
      <c r="AE137" t="s">
        <v>33</v>
      </c>
      <c r="AF137" t="s">
        <v>153</v>
      </c>
    </row>
    <row r="138" spans="1:32" hidden="1" x14ac:dyDescent="0.25">
      <c r="A138" s="4" t="s">
        <v>154</v>
      </c>
      <c r="B138" s="1">
        <v>24</v>
      </c>
      <c r="C138" s="1">
        <v>500</v>
      </c>
      <c r="D138" s="1">
        <v>750</v>
      </c>
      <c r="E138" s="1">
        <f>D138/(C138*H138)</f>
        <v>0.1201923076923077</v>
      </c>
      <c r="H138" s="1">
        <v>12.48</v>
      </c>
      <c r="I138" s="1">
        <v>0.26</v>
      </c>
      <c r="P138" s="1">
        <v>0.95</v>
      </c>
      <c r="Q138" s="1">
        <v>0.05</v>
      </c>
      <c r="AC138" t="s">
        <v>32</v>
      </c>
      <c r="AD138">
        <v>2015</v>
      </c>
      <c r="AE138" t="s">
        <v>33</v>
      </c>
      <c r="AF138" t="s">
        <v>155</v>
      </c>
    </row>
    <row r="139" spans="1:32" hidden="1" x14ac:dyDescent="0.25">
      <c r="A139" s="4" t="s">
        <v>154</v>
      </c>
      <c r="B139" s="1">
        <v>24</v>
      </c>
      <c r="C139" s="1">
        <v>500</v>
      </c>
      <c r="D139" s="1">
        <v>1000</v>
      </c>
      <c r="E139" s="1">
        <f>D139/(C139*H139)</f>
        <v>0.19801980198019803</v>
      </c>
      <c r="H139" s="1">
        <v>10.1</v>
      </c>
      <c r="I139" s="1">
        <v>0.26</v>
      </c>
      <c r="P139" s="1">
        <v>0.95</v>
      </c>
      <c r="Q139" s="1">
        <v>1.0999999999999999E-2</v>
      </c>
      <c r="AC139" t="s">
        <v>32</v>
      </c>
      <c r="AD139">
        <v>2015</v>
      </c>
      <c r="AE139" t="s">
        <v>33</v>
      </c>
      <c r="AF139" t="s">
        <v>155</v>
      </c>
    </row>
    <row r="140" spans="1:32" hidden="1" x14ac:dyDescent="0.25">
      <c r="A140" s="4" t="s">
        <v>154</v>
      </c>
      <c r="B140" s="1">
        <v>30</v>
      </c>
      <c r="C140" s="1">
        <v>500</v>
      </c>
      <c r="D140" s="1">
        <v>750</v>
      </c>
      <c r="E140" s="1">
        <f>D140/(C140*H140)</f>
        <v>0.12135922330097088</v>
      </c>
      <c r="H140" s="1">
        <v>12.36</v>
      </c>
      <c r="I140" s="1">
        <v>0.17</v>
      </c>
      <c r="P140" s="1">
        <v>0.84</v>
      </c>
      <c r="Q140" s="1">
        <v>0.08</v>
      </c>
      <c r="AC140" t="s">
        <v>32</v>
      </c>
      <c r="AD140">
        <v>2015</v>
      </c>
      <c r="AE140" t="s">
        <v>33</v>
      </c>
      <c r="AF140" t="s">
        <v>155</v>
      </c>
    </row>
    <row r="141" spans="1:32" hidden="1" x14ac:dyDescent="0.25">
      <c r="A141" s="4" t="s">
        <v>154</v>
      </c>
      <c r="B141" s="1">
        <v>30</v>
      </c>
      <c r="C141" s="1">
        <v>500</v>
      </c>
      <c r="D141" s="1">
        <v>1000</v>
      </c>
      <c r="E141" s="1">
        <f>D141/(C141*H141)</f>
        <v>0.20920502092050208</v>
      </c>
      <c r="H141" s="1">
        <v>9.56</v>
      </c>
      <c r="I141" s="1">
        <v>0.26</v>
      </c>
      <c r="P141" s="1">
        <v>0.89</v>
      </c>
      <c r="Q141" s="1">
        <v>0.02</v>
      </c>
      <c r="AC141" t="s">
        <v>32</v>
      </c>
      <c r="AD141">
        <v>2015</v>
      </c>
      <c r="AE141" t="s">
        <v>33</v>
      </c>
      <c r="AF141" t="s">
        <v>155</v>
      </c>
    </row>
    <row r="142" spans="1:32" hidden="1" x14ac:dyDescent="0.25">
      <c r="A142" s="4" t="s">
        <v>75</v>
      </c>
      <c r="B142" s="1">
        <v>25</v>
      </c>
      <c r="C142" s="1">
        <v>150</v>
      </c>
      <c r="D142" s="1">
        <v>400</v>
      </c>
      <c r="E142" s="1">
        <f>D142/(C142*L142)</f>
        <v>0.17957351290684623</v>
      </c>
      <c r="L142" s="1">
        <v>14.85</v>
      </c>
      <c r="M142" s="1">
        <v>1.42</v>
      </c>
      <c r="T142" s="1">
        <v>0.89</v>
      </c>
      <c r="U142" s="1">
        <v>0.02</v>
      </c>
      <c r="X142" s="1">
        <v>2.38</v>
      </c>
      <c r="Y142" s="1">
        <v>0.02</v>
      </c>
      <c r="AC142" t="s">
        <v>32</v>
      </c>
      <c r="AD142">
        <v>2011</v>
      </c>
      <c r="AE142" t="s">
        <v>33</v>
      </c>
      <c r="AF142" t="s">
        <v>156</v>
      </c>
    </row>
    <row r="143" spans="1:32" hidden="1" x14ac:dyDescent="0.25">
      <c r="A143" s="4" t="s">
        <v>75</v>
      </c>
      <c r="B143" s="1">
        <v>25</v>
      </c>
      <c r="C143" s="1">
        <v>300</v>
      </c>
      <c r="D143" s="1">
        <v>500</v>
      </c>
      <c r="E143" s="1">
        <f>D143/(C143*L143)</f>
        <v>7.9744816586921854E-2</v>
      </c>
      <c r="L143" s="1">
        <v>20.9</v>
      </c>
      <c r="M143" s="1">
        <v>1.33</v>
      </c>
      <c r="T143" s="1">
        <v>0.73</v>
      </c>
      <c r="U143" s="1">
        <v>0.04</v>
      </c>
      <c r="X143" s="1">
        <v>2.21</v>
      </c>
      <c r="Y143" s="1">
        <v>0.01</v>
      </c>
      <c r="AC143" t="s">
        <v>32</v>
      </c>
      <c r="AD143">
        <v>2011</v>
      </c>
      <c r="AE143" t="s">
        <v>33</v>
      </c>
      <c r="AF143" t="s">
        <v>157</v>
      </c>
    </row>
    <row r="144" spans="1:32" x14ac:dyDescent="0.25">
      <c r="A144" s="4" t="s">
        <v>58</v>
      </c>
      <c r="B144" s="1">
        <v>27</v>
      </c>
      <c r="C144" s="1">
        <v>100</v>
      </c>
      <c r="E144" s="1">
        <v>0.75</v>
      </c>
      <c r="H144" s="1">
        <v>5.73</v>
      </c>
      <c r="I144" s="1">
        <v>0.02</v>
      </c>
      <c r="N144" s="1">
        <v>0.84</v>
      </c>
      <c r="O144" s="1">
        <v>0.02</v>
      </c>
      <c r="P144" s="1">
        <v>0.93400000000000005</v>
      </c>
      <c r="Q144" s="1">
        <v>0.02</v>
      </c>
      <c r="X144" s="1">
        <v>3.17</v>
      </c>
      <c r="Y144" s="1">
        <v>0.3</v>
      </c>
      <c r="Z144" s="1">
        <v>42.75</v>
      </c>
      <c r="AA144" s="1">
        <v>90</v>
      </c>
      <c r="AC144" t="s">
        <v>35</v>
      </c>
      <c r="AD144" s="1">
        <v>2021</v>
      </c>
      <c r="AE144" t="s">
        <v>36</v>
      </c>
      <c r="AF144" t="s">
        <v>158</v>
      </c>
    </row>
    <row r="145" spans="1:32" x14ac:dyDescent="0.25">
      <c r="A145" s="4" t="s">
        <v>58</v>
      </c>
      <c r="B145" s="1">
        <v>27</v>
      </c>
      <c r="C145" s="1">
        <v>100</v>
      </c>
      <c r="E145" s="1">
        <v>0.75</v>
      </c>
      <c r="H145" s="1">
        <v>6.2</v>
      </c>
      <c r="I145" s="1">
        <v>0.09</v>
      </c>
      <c r="N145" s="1">
        <v>0.89</v>
      </c>
      <c r="O145" s="1">
        <v>0.02</v>
      </c>
      <c r="P145" s="1">
        <v>0.91900000000000004</v>
      </c>
      <c r="Q145" s="1">
        <v>2.5999999999999999E-2</v>
      </c>
      <c r="X145" s="1">
        <v>3.14</v>
      </c>
      <c r="Y145" s="1">
        <v>0.9</v>
      </c>
      <c r="Z145" s="1">
        <v>47</v>
      </c>
      <c r="AA145" s="1">
        <v>90</v>
      </c>
      <c r="AC145" t="s">
        <v>35</v>
      </c>
      <c r="AD145" s="1">
        <v>2021</v>
      </c>
      <c r="AE145" t="s">
        <v>36</v>
      </c>
      <c r="AF145" t="s">
        <v>158</v>
      </c>
    </row>
    <row r="146" spans="1:32" hidden="1" x14ac:dyDescent="0.25">
      <c r="A146" s="4" t="s">
        <v>90</v>
      </c>
      <c r="B146" s="1">
        <v>27</v>
      </c>
      <c r="C146" s="1">
        <v>5</v>
      </c>
      <c r="D146" s="1">
        <v>15</v>
      </c>
      <c r="T146" s="1">
        <v>0.6</v>
      </c>
      <c r="U146" s="1">
        <v>0.1</v>
      </c>
      <c r="V146" s="1">
        <v>0.68500000000000005</v>
      </c>
      <c r="W146" s="1">
        <v>0.03</v>
      </c>
      <c r="X146" s="1">
        <f t="shared" ref="X146:X167" si="4">1.8 + 1.96 *V146</f>
        <v>3.1425999999999998</v>
      </c>
      <c r="Y146" s="1">
        <f t="shared" ref="Y146:Y167" si="5">1.8 + 1.96 *(W146 +V146) - X146</f>
        <v>5.880000000000063E-2</v>
      </c>
      <c r="AC146" t="s">
        <v>32</v>
      </c>
      <c r="AD146">
        <v>2014</v>
      </c>
      <c r="AE146" t="s">
        <v>33</v>
      </c>
      <c r="AF146" t="s">
        <v>159</v>
      </c>
    </row>
    <row r="147" spans="1:32" hidden="1" x14ac:dyDescent="0.25">
      <c r="A147" s="4" t="s">
        <v>90</v>
      </c>
      <c r="B147" s="1">
        <v>27</v>
      </c>
      <c r="C147" s="1">
        <v>5</v>
      </c>
      <c r="D147" s="1">
        <v>30</v>
      </c>
      <c r="T147" s="1">
        <v>0.88</v>
      </c>
      <c r="U147" s="1">
        <v>0.08</v>
      </c>
      <c r="V147" s="1">
        <v>0.61</v>
      </c>
      <c r="W147" s="1">
        <v>2.8000000000000001E-2</v>
      </c>
      <c r="X147" s="1">
        <f t="shared" si="4"/>
        <v>2.9956</v>
      </c>
      <c r="Y147" s="1">
        <f t="shared" si="5"/>
        <v>5.4880000000000262E-2</v>
      </c>
      <c r="AC147" t="s">
        <v>32</v>
      </c>
      <c r="AD147">
        <v>2014</v>
      </c>
      <c r="AE147" t="s">
        <v>33</v>
      </c>
      <c r="AF147" t="s">
        <v>159</v>
      </c>
    </row>
    <row r="148" spans="1:32" hidden="1" x14ac:dyDescent="0.25">
      <c r="A148" s="4" t="s">
        <v>90</v>
      </c>
      <c r="B148" s="1">
        <v>27</v>
      </c>
      <c r="C148" s="1">
        <v>5</v>
      </c>
      <c r="D148" s="1">
        <v>60</v>
      </c>
      <c r="T148" s="1">
        <v>0.66100000000000003</v>
      </c>
      <c r="U148" s="1">
        <v>0.09</v>
      </c>
      <c r="V148" s="1">
        <v>0.216</v>
      </c>
      <c r="W148" s="1">
        <v>0.02</v>
      </c>
      <c r="X148" s="1">
        <f t="shared" si="4"/>
        <v>2.22336</v>
      </c>
      <c r="Y148" s="1">
        <f t="shared" si="5"/>
        <v>3.9200000000000124E-2</v>
      </c>
      <c r="AC148" t="s">
        <v>32</v>
      </c>
      <c r="AD148">
        <v>2014</v>
      </c>
      <c r="AE148" t="s">
        <v>33</v>
      </c>
      <c r="AF148" t="s">
        <v>159</v>
      </c>
    </row>
    <row r="149" spans="1:32" hidden="1" x14ac:dyDescent="0.25">
      <c r="A149" s="4" t="s">
        <v>90</v>
      </c>
      <c r="B149" s="1">
        <v>27</v>
      </c>
      <c r="C149" s="1">
        <v>10</v>
      </c>
      <c r="D149" s="1">
        <v>15</v>
      </c>
      <c r="T149" s="1">
        <v>0.65</v>
      </c>
      <c r="U149" s="1">
        <v>0.12</v>
      </c>
      <c r="V149" s="1">
        <v>0.68300000000000005</v>
      </c>
      <c r="W149" s="1">
        <v>0.03</v>
      </c>
      <c r="X149" s="1">
        <f t="shared" si="4"/>
        <v>3.1386799999999999</v>
      </c>
      <c r="Y149" s="1">
        <f t="shared" si="5"/>
        <v>5.8800000000000185E-2</v>
      </c>
      <c r="AC149" t="s">
        <v>32</v>
      </c>
      <c r="AD149">
        <v>2014</v>
      </c>
      <c r="AE149" t="s">
        <v>33</v>
      </c>
      <c r="AF149" t="s">
        <v>159</v>
      </c>
    </row>
    <row r="150" spans="1:32" hidden="1" x14ac:dyDescent="0.25">
      <c r="A150" s="4" t="s">
        <v>90</v>
      </c>
      <c r="B150" s="1">
        <v>27</v>
      </c>
      <c r="C150" s="1">
        <v>10</v>
      </c>
      <c r="D150" s="1">
        <v>30</v>
      </c>
      <c r="T150" s="1">
        <v>0.77</v>
      </c>
      <c r="U150" s="1">
        <v>7.0000000000000007E-2</v>
      </c>
      <c r="V150" s="1">
        <v>0.46</v>
      </c>
      <c r="W150" s="1">
        <v>2.5000000000000001E-2</v>
      </c>
      <c r="X150" s="1">
        <f t="shared" si="4"/>
        <v>2.7016</v>
      </c>
      <c r="Y150" s="1">
        <f t="shared" si="5"/>
        <v>4.9000000000000377E-2</v>
      </c>
      <c r="AC150" t="s">
        <v>32</v>
      </c>
      <c r="AD150">
        <v>2014</v>
      </c>
      <c r="AE150" t="s">
        <v>33</v>
      </c>
      <c r="AF150" t="s">
        <v>159</v>
      </c>
    </row>
    <row r="151" spans="1:32" hidden="1" x14ac:dyDescent="0.25">
      <c r="A151" s="4" t="s">
        <v>90</v>
      </c>
      <c r="B151" s="1">
        <v>27</v>
      </c>
      <c r="C151" s="1">
        <v>10</v>
      </c>
      <c r="D151" s="1">
        <v>60</v>
      </c>
      <c r="T151" s="1">
        <v>0.35</v>
      </c>
      <c r="U151" s="1">
        <v>0.06</v>
      </c>
      <c r="V151" s="1">
        <v>0.17</v>
      </c>
      <c r="W151" s="1">
        <v>0.02</v>
      </c>
      <c r="X151" s="1">
        <f t="shared" si="4"/>
        <v>2.1332</v>
      </c>
      <c r="Y151" s="1">
        <f t="shared" si="5"/>
        <v>3.9200000000000124E-2</v>
      </c>
      <c r="AC151" t="s">
        <v>32</v>
      </c>
      <c r="AD151">
        <v>2014</v>
      </c>
      <c r="AE151" t="s">
        <v>33</v>
      </c>
      <c r="AF151" t="s">
        <v>159</v>
      </c>
    </row>
    <row r="152" spans="1:32" hidden="1" x14ac:dyDescent="0.25">
      <c r="A152" s="4" t="s">
        <v>89</v>
      </c>
      <c r="B152" s="1">
        <v>21</v>
      </c>
      <c r="E152" s="1">
        <v>7.4999999999999997E-2</v>
      </c>
      <c r="L152" s="1">
        <v>22.39</v>
      </c>
      <c r="M152" s="1">
        <v>1</v>
      </c>
      <c r="V152" s="1">
        <v>0.41</v>
      </c>
      <c r="W152" s="1">
        <v>1.4999999999999999E-2</v>
      </c>
      <c r="X152" s="1">
        <f t="shared" si="4"/>
        <v>2.6036000000000001</v>
      </c>
      <c r="Y152" s="1">
        <f t="shared" si="5"/>
        <v>2.9399999999999871E-2</v>
      </c>
      <c r="AC152" t="s">
        <v>32</v>
      </c>
      <c r="AD152">
        <v>2017</v>
      </c>
      <c r="AE152" t="s">
        <v>33</v>
      </c>
      <c r="AF152" t="s">
        <v>160</v>
      </c>
    </row>
    <row r="153" spans="1:32" hidden="1" x14ac:dyDescent="0.25">
      <c r="A153" s="4" t="s">
        <v>89</v>
      </c>
      <c r="B153" s="1">
        <v>21</v>
      </c>
      <c r="E153" s="1">
        <v>7.4999999999999997E-2</v>
      </c>
      <c r="L153" s="1">
        <v>20.79</v>
      </c>
      <c r="M153" s="1">
        <v>1.03</v>
      </c>
      <c r="V153" s="1">
        <v>0.38</v>
      </c>
      <c r="W153" s="1">
        <v>9.7000000000000003E-2</v>
      </c>
      <c r="X153" s="1">
        <f t="shared" si="4"/>
        <v>2.5448</v>
      </c>
      <c r="Y153" s="1">
        <f t="shared" si="5"/>
        <v>0.19011999999999984</v>
      </c>
      <c r="AC153" t="s">
        <v>32</v>
      </c>
      <c r="AD153">
        <v>2017</v>
      </c>
      <c r="AE153" t="s">
        <v>33</v>
      </c>
      <c r="AF153" t="s">
        <v>161</v>
      </c>
    </row>
    <row r="154" spans="1:32" hidden="1" x14ac:dyDescent="0.25">
      <c r="A154" s="4" t="s">
        <v>89</v>
      </c>
      <c r="B154" s="1">
        <v>21</v>
      </c>
      <c r="E154" s="1">
        <v>7.4999999999999997E-2</v>
      </c>
      <c r="L154" s="1">
        <v>17.489999999999998</v>
      </c>
      <c r="M154" s="1">
        <v>0.65</v>
      </c>
      <c r="V154" s="1">
        <v>0.5</v>
      </c>
      <c r="W154" s="1">
        <v>1.4999999999999999E-2</v>
      </c>
      <c r="X154" s="1">
        <f t="shared" si="4"/>
        <v>2.7800000000000002</v>
      </c>
      <c r="Y154" s="1">
        <f t="shared" si="5"/>
        <v>2.9399999999999871E-2</v>
      </c>
      <c r="AC154" t="s">
        <v>32</v>
      </c>
      <c r="AD154">
        <v>2017</v>
      </c>
      <c r="AE154" t="s">
        <v>33</v>
      </c>
      <c r="AF154" t="s">
        <v>162</v>
      </c>
    </row>
    <row r="155" spans="1:32" hidden="1" x14ac:dyDescent="0.25">
      <c r="A155" s="4" t="s">
        <v>89</v>
      </c>
      <c r="B155" s="1">
        <v>21</v>
      </c>
      <c r="E155" s="1">
        <v>7.4999999999999997E-2</v>
      </c>
      <c r="L155" s="1">
        <v>17</v>
      </c>
      <c r="M155" s="1">
        <v>0.13</v>
      </c>
      <c r="V155" s="1">
        <v>0.46100000000000002</v>
      </c>
      <c r="W155" s="1">
        <v>1.2E-2</v>
      </c>
      <c r="X155" s="1">
        <f t="shared" si="4"/>
        <v>2.70356</v>
      </c>
      <c r="Y155" s="1">
        <f t="shared" si="5"/>
        <v>2.3519999999999985E-2</v>
      </c>
      <c r="AC155" t="s">
        <v>32</v>
      </c>
      <c r="AD155">
        <v>2017</v>
      </c>
      <c r="AE155" t="s">
        <v>33</v>
      </c>
      <c r="AF155" t="s">
        <v>163</v>
      </c>
    </row>
    <row r="156" spans="1:32" hidden="1" x14ac:dyDescent="0.25">
      <c r="A156" s="4" t="s">
        <v>89</v>
      </c>
      <c r="B156" s="1">
        <v>21</v>
      </c>
      <c r="E156" s="1">
        <v>7.4999999999999997E-2</v>
      </c>
      <c r="L156" s="1">
        <v>16.600000000000001</v>
      </c>
      <c r="M156" s="1">
        <v>0.24</v>
      </c>
      <c r="V156" s="1">
        <v>0.51400000000000001</v>
      </c>
      <c r="W156" s="1">
        <v>1.2E-2</v>
      </c>
      <c r="X156" s="1">
        <f t="shared" si="4"/>
        <v>2.8074400000000002</v>
      </c>
      <c r="Y156" s="1">
        <f t="shared" si="5"/>
        <v>2.3519999999999985E-2</v>
      </c>
      <c r="AC156" t="s">
        <v>32</v>
      </c>
      <c r="AD156">
        <v>2017</v>
      </c>
      <c r="AE156" t="s">
        <v>33</v>
      </c>
      <c r="AF156" t="s">
        <v>164</v>
      </c>
    </row>
    <row r="157" spans="1:32" hidden="1" x14ac:dyDescent="0.25">
      <c r="A157" s="4" t="s">
        <v>89</v>
      </c>
      <c r="B157" s="1">
        <v>21</v>
      </c>
      <c r="E157" s="1">
        <v>7.4999999999999997E-2</v>
      </c>
      <c r="L157" s="1">
        <v>16.100000000000001</v>
      </c>
      <c r="M157" s="1">
        <v>0.17</v>
      </c>
      <c r="V157" s="1">
        <v>0.45600000000000002</v>
      </c>
      <c r="W157" s="1">
        <v>1.2999999999999999E-2</v>
      </c>
      <c r="X157" s="1">
        <f t="shared" si="4"/>
        <v>2.6937600000000002</v>
      </c>
      <c r="Y157" s="1">
        <f t="shared" si="5"/>
        <v>2.5479999999999947E-2</v>
      </c>
      <c r="AC157" t="s">
        <v>32</v>
      </c>
      <c r="AD157">
        <v>2017</v>
      </c>
      <c r="AE157" t="s">
        <v>33</v>
      </c>
      <c r="AF157" t="s">
        <v>165</v>
      </c>
    </row>
    <row r="158" spans="1:32" hidden="1" x14ac:dyDescent="0.25">
      <c r="A158" s="4" t="s">
        <v>89</v>
      </c>
      <c r="B158" s="1">
        <v>21</v>
      </c>
      <c r="E158" s="1">
        <v>7.4999999999999997E-2</v>
      </c>
      <c r="L158" s="1">
        <v>15.81</v>
      </c>
      <c r="M158" s="1">
        <v>0.09</v>
      </c>
      <c r="V158" s="1">
        <v>0.36199999999999999</v>
      </c>
      <c r="W158" s="1">
        <v>0.01</v>
      </c>
      <c r="X158" s="1">
        <f t="shared" si="4"/>
        <v>2.5095200000000002</v>
      </c>
      <c r="Y158" s="1">
        <f t="shared" si="5"/>
        <v>1.9599999999999618E-2</v>
      </c>
      <c r="AC158" t="s">
        <v>32</v>
      </c>
      <c r="AD158">
        <v>2017</v>
      </c>
      <c r="AE158" t="s">
        <v>33</v>
      </c>
      <c r="AF158" t="s">
        <v>166</v>
      </c>
    </row>
    <row r="159" spans="1:32" hidden="1" x14ac:dyDescent="0.25">
      <c r="A159" s="4" t="s">
        <v>89</v>
      </c>
      <c r="B159" s="1">
        <v>21</v>
      </c>
      <c r="E159" s="1">
        <v>7.4999999999999997E-2</v>
      </c>
      <c r="L159" s="1">
        <v>15.7</v>
      </c>
      <c r="M159" s="1">
        <v>0.01</v>
      </c>
      <c r="V159" s="1">
        <v>0.42699999999999999</v>
      </c>
      <c r="W159" s="1">
        <v>7.0000000000000007E-2</v>
      </c>
      <c r="X159" s="1">
        <f t="shared" si="4"/>
        <v>2.6369199999999999</v>
      </c>
      <c r="Y159" s="1">
        <f t="shared" si="5"/>
        <v>0.13719999999999999</v>
      </c>
      <c r="AC159" t="s">
        <v>32</v>
      </c>
      <c r="AD159">
        <v>2017</v>
      </c>
      <c r="AE159" t="s">
        <v>33</v>
      </c>
      <c r="AF159" t="s">
        <v>167</v>
      </c>
    </row>
    <row r="160" spans="1:32" hidden="1" x14ac:dyDescent="0.25">
      <c r="A160" s="4" t="s">
        <v>89</v>
      </c>
      <c r="B160" s="1">
        <v>25</v>
      </c>
      <c r="E160" s="1">
        <v>7.4999999999999997E-2</v>
      </c>
      <c r="L160" s="1">
        <v>16.04</v>
      </c>
      <c r="M160" s="1">
        <v>0.89</v>
      </c>
      <c r="V160" s="1">
        <v>0.32600000000000001</v>
      </c>
      <c r="W160" s="1">
        <v>1.0999999999999999E-2</v>
      </c>
      <c r="X160" s="1">
        <f t="shared" si="4"/>
        <v>2.4389599999999998</v>
      </c>
      <c r="Y160" s="1">
        <f t="shared" si="5"/>
        <v>2.1560000000000024E-2</v>
      </c>
      <c r="AC160" t="s">
        <v>32</v>
      </c>
      <c r="AD160">
        <v>2017</v>
      </c>
      <c r="AE160" t="s">
        <v>33</v>
      </c>
      <c r="AF160" t="s">
        <v>168</v>
      </c>
    </row>
    <row r="161" spans="1:32" hidden="1" x14ac:dyDescent="0.25">
      <c r="A161" s="4" t="s">
        <v>89</v>
      </c>
      <c r="B161" s="1">
        <v>25</v>
      </c>
      <c r="E161" s="1">
        <v>7.4999999999999997E-2</v>
      </c>
      <c r="L161" s="1">
        <v>14.43</v>
      </c>
      <c r="M161" s="1">
        <v>0.69</v>
      </c>
      <c r="V161" s="1">
        <v>0.43</v>
      </c>
      <c r="W161" s="1">
        <v>2.7E-2</v>
      </c>
      <c r="X161" s="1">
        <f t="shared" si="4"/>
        <v>2.6428000000000003</v>
      </c>
      <c r="Y161" s="1">
        <f t="shared" si="5"/>
        <v>5.2919999999999856E-2</v>
      </c>
      <c r="AC161" t="s">
        <v>32</v>
      </c>
      <c r="AD161">
        <v>2017</v>
      </c>
      <c r="AE161" t="s">
        <v>33</v>
      </c>
      <c r="AF161" t="s">
        <v>169</v>
      </c>
    </row>
    <row r="162" spans="1:32" hidden="1" x14ac:dyDescent="0.25">
      <c r="A162" s="4" t="s">
        <v>89</v>
      </c>
      <c r="B162" s="1">
        <v>25</v>
      </c>
      <c r="E162" s="1">
        <v>7.4999999999999997E-2</v>
      </c>
      <c r="L162" s="1">
        <v>12</v>
      </c>
      <c r="M162" s="1">
        <v>0.12</v>
      </c>
      <c r="V162" s="1">
        <v>0.56000000000000005</v>
      </c>
      <c r="W162" s="1">
        <v>1.2999999999999999E-2</v>
      </c>
      <c r="X162" s="1">
        <f t="shared" si="4"/>
        <v>2.8976000000000002</v>
      </c>
      <c r="Y162" s="1">
        <f t="shared" si="5"/>
        <v>2.5479999999999947E-2</v>
      </c>
      <c r="AC162" t="s">
        <v>32</v>
      </c>
      <c r="AD162">
        <v>2017</v>
      </c>
      <c r="AE162" t="s">
        <v>33</v>
      </c>
      <c r="AF162" t="s">
        <v>170</v>
      </c>
    </row>
    <row r="163" spans="1:32" hidden="1" x14ac:dyDescent="0.25">
      <c r="A163" s="4" t="s">
        <v>89</v>
      </c>
      <c r="B163" s="1">
        <v>25</v>
      </c>
      <c r="E163" s="1">
        <v>7.4999999999999997E-2</v>
      </c>
      <c r="L163" s="1">
        <v>11.76</v>
      </c>
      <c r="M163" s="1">
        <v>0.14000000000000001</v>
      </c>
      <c r="V163" s="1">
        <v>0.52100000000000002</v>
      </c>
      <c r="W163" s="1">
        <v>1.0999999999999999E-2</v>
      </c>
      <c r="X163" s="1">
        <f t="shared" si="4"/>
        <v>2.8211599999999999</v>
      </c>
      <c r="Y163" s="1">
        <f t="shared" si="5"/>
        <v>2.1560000000000024E-2</v>
      </c>
      <c r="AC163" t="s">
        <v>32</v>
      </c>
      <c r="AD163">
        <v>2017</v>
      </c>
      <c r="AE163" t="s">
        <v>33</v>
      </c>
      <c r="AF163" t="s">
        <v>171</v>
      </c>
    </row>
    <row r="164" spans="1:32" hidden="1" x14ac:dyDescent="0.25">
      <c r="A164" s="4" t="s">
        <v>89</v>
      </c>
      <c r="B164" s="1">
        <v>25</v>
      </c>
      <c r="E164" s="1">
        <v>7.4999999999999997E-2</v>
      </c>
      <c r="L164" s="1">
        <v>11.69</v>
      </c>
      <c r="M164" s="1">
        <v>0.25</v>
      </c>
      <c r="V164" s="1">
        <v>0.51</v>
      </c>
      <c r="W164" s="1">
        <v>2.1000000000000001E-2</v>
      </c>
      <c r="X164" s="1">
        <f t="shared" si="4"/>
        <v>2.7995999999999999</v>
      </c>
      <c r="Y164" s="1">
        <f t="shared" si="5"/>
        <v>4.1160000000000529E-2</v>
      </c>
      <c r="AC164" t="s">
        <v>32</v>
      </c>
      <c r="AD164">
        <v>2017</v>
      </c>
      <c r="AE164" t="s">
        <v>33</v>
      </c>
      <c r="AF164" t="s">
        <v>172</v>
      </c>
    </row>
    <row r="165" spans="1:32" hidden="1" x14ac:dyDescent="0.25">
      <c r="A165" s="4" t="s">
        <v>89</v>
      </c>
      <c r="B165" s="1">
        <v>25</v>
      </c>
      <c r="E165" s="1">
        <v>7.4999999999999997E-2</v>
      </c>
      <c r="L165" s="1">
        <v>11.1</v>
      </c>
      <c r="M165" s="1">
        <v>0.3</v>
      </c>
      <c r="V165" s="1">
        <v>0.51</v>
      </c>
      <c r="W165" s="1">
        <v>0.09</v>
      </c>
      <c r="X165" s="1">
        <f t="shared" si="4"/>
        <v>2.7995999999999999</v>
      </c>
      <c r="Y165" s="1">
        <f t="shared" si="5"/>
        <v>0.17640000000000011</v>
      </c>
      <c r="AC165" t="s">
        <v>32</v>
      </c>
      <c r="AD165">
        <v>2017</v>
      </c>
      <c r="AE165" t="s">
        <v>33</v>
      </c>
      <c r="AF165" t="s">
        <v>173</v>
      </c>
    </row>
    <row r="166" spans="1:32" hidden="1" x14ac:dyDescent="0.25">
      <c r="A166" s="4" t="s">
        <v>89</v>
      </c>
      <c r="B166" s="1">
        <v>25</v>
      </c>
      <c r="E166" s="1">
        <v>7.4999999999999997E-2</v>
      </c>
      <c r="L166" s="1">
        <v>11.16</v>
      </c>
      <c r="M166" s="1">
        <v>0.2</v>
      </c>
      <c r="V166" s="1">
        <v>0.54700000000000004</v>
      </c>
      <c r="W166" s="1">
        <v>0.02</v>
      </c>
      <c r="X166" s="1">
        <f t="shared" si="4"/>
        <v>2.8721199999999998</v>
      </c>
      <c r="Y166" s="1">
        <f t="shared" si="5"/>
        <v>3.9200000000000124E-2</v>
      </c>
      <c r="AC166" t="s">
        <v>32</v>
      </c>
      <c r="AD166">
        <v>2017</v>
      </c>
      <c r="AE166" t="s">
        <v>33</v>
      </c>
      <c r="AF166" t="s">
        <v>174</v>
      </c>
    </row>
    <row r="167" spans="1:32" hidden="1" x14ac:dyDescent="0.25">
      <c r="A167" s="4" t="s">
        <v>89</v>
      </c>
      <c r="B167" s="1">
        <v>25</v>
      </c>
      <c r="E167" s="1">
        <v>7.4999999999999997E-2</v>
      </c>
      <c r="L167" s="1">
        <v>11</v>
      </c>
      <c r="M167" s="1">
        <v>7.0000000000000007E-2</v>
      </c>
      <c r="V167" s="1">
        <v>0.55200000000000005</v>
      </c>
      <c r="W167" s="1">
        <v>1.55E-2</v>
      </c>
      <c r="X167" s="1">
        <f t="shared" si="4"/>
        <v>2.88192</v>
      </c>
      <c r="Y167" s="1">
        <f t="shared" si="5"/>
        <v>3.0380000000000074E-2</v>
      </c>
      <c r="AC167" t="s">
        <v>32</v>
      </c>
      <c r="AD167">
        <v>2017</v>
      </c>
      <c r="AE167" t="s">
        <v>33</v>
      </c>
      <c r="AF167" t="s">
        <v>175</v>
      </c>
    </row>
    <row r="168" spans="1:32" hidden="1" x14ac:dyDescent="0.25">
      <c r="A168" s="4" t="s">
        <v>92</v>
      </c>
      <c r="B168" s="1">
        <v>28</v>
      </c>
      <c r="C168" s="1">
        <v>160</v>
      </c>
      <c r="D168" s="1">
        <v>500</v>
      </c>
      <c r="E168" s="1">
        <f>D168/(C168*L167)</f>
        <v>0.28409090909090912</v>
      </c>
      <c r="L168" s="1">
        <v>16.02</v>
      </c>
      <c r="M168" s="1">
        <v>0.5</v>
      </c>
      <c r="T168" s="1">
        <v>0.36</v>
      </c>
      <c r="U168" s="1">
        <v>1.2999999999999999E-2</v>
      </c>
      <c r="X168" s="1">
        <v>2.5299999999999998</v>
      </c>
      <c r="Y168" s="1">
        <v>0.02</v>
      </c>
      <c r="AC168" t="s">
        <v>32</v>
      </c>
      <c r="AD168">
        <v>2005</v>
      </c>
      <c r="AE168" t="s">
        <v>33</v>
      </c>
      <c r="AF168" t="s">
        <v>176</v>
      </c>
    </row>
    <row r="169" spans="1:32" hidden="1" x14ac:dyDescent="0.25">
      <c r="A169" s="4" t="s">
        <v>92</v>
      </c>
      <c r="B169" s="1">
        <v>28</v>
      </c>
      <c r="C169" s="1">
        <v>320</v>
      </c>
      <c r="D169" s="1">
        <v>500</v>
      </c>
      <c r="E169" s="1">
        <f>D169/(C169*L168)</f>
        <v>9.7534332084893885E-2</v>
      </c>
      <c r="L169" s="1">
        <v>11.55</v>
      </c>
      <c r="M169" s="1">
        <v>0.6</v>
      </c>
      <c r="T169" s="1">
        <v>0.218</v>
      </c>
      <c r="U169" s="1">
        <v>1.2999999999999999E-2</v>
      </c>
      <c r="X169" s="1">
        <v>2.21</v>
      </c>
      <c r="Y169" s="1">
        <v>0.02</v>
      </c>
      <c r="AC169" t="s">
        <v>32</v>
      </c>
      <c r="AD169">
        <v>2005</v>
      </c>
      <c r="AE169" t="s">
        <v>33</v>
      </c>
      <c r="AF169" t="s">
        <v>176</v>
      </c>
    </row>
    <row r="170" spans="1:32" hidden="1" x14ac:dyDescent="0.25">
      <c r="A170" s="4" t="s">
        <v>88</v>
      </c>
      <c r="B170" s="1">
        <v>27</v>
      </c>
      <c r="C170" s="1">
        <v>20</v>
      </c>
      <c r="E170" s="1">
        <f>15/C170</f>
        <v>0.75</v>
      </c>
      <c r="L170" s="1">
        <v>11.64</v>
      </c>
      <c r="M170" s="1">
        <v>0.9</v>
      </c>
      <c r="T170" s="1">
        <v>0.88300000000000001</v>
      </c>
      <c r="AC170" t="s">
        <v>35</v>
      </c>
      <c r="AD170">
        <v>2017</v>
      </c>
      <c r="AE170" t="s">
        <v>33</v>
      </c>
      <c r="AF170" t="s">
        <v>177</v>
      </c>
    </row>
    <row r="171" spans="1:32" hidden="1" x14ac:dyDescent="0.25">
      <c r="A171" s="4" t="s">
        <v>88</v>
      </c>
      <c r="B171" s="1">
        <v>27</v>
      </c>
      <c r="C171" s="1">
        <v>50</v>
      </c>
      <c r="E171" s="1">
        <f>15/C171</f>
        <v>0.3</v>
      </c>
      <c r="L171" s="1">
        <v>15.09</v>
      </c>
      <c r="M171" s="1">
        <v>0.55000000000000004</v>
      </c>
      <c r="T171" s="1">
        <v>0.88500000000000001</v>
      </c>
      <c r="AC171" t="s">
        <v>35</v>
      </c>
      <c r="AD171">
        <v>2017</v>
      </c>
      <c r="AE171" t="s">
        <v>33</v>
      </c>
      <c r="AF171" t="s">
        <v>178</v>
      </c>
    </row>
    <row r="172" spans="1:32" hidden="1" x14ac:dyDescent="0.25">
      <c r="A172" s="4" t="s">
        <v>88</v>
      </c>
      <c r="B172" s="1">
        <v>27</v>
      </c>
      <c r="C172" s="1">
        <v>100</v>
      </c>
      <c r="E172" s="1">
        <f>15/C172</f>
        <v>0.15</v>
      </c>
      <c r="L172" s="1">
        <v>18.68</v>
      </c>
      <c r="M172" s="1">
        <v>0.04</v>
      </c>
      <c r="T172" s="1">
        <v>0.75380000000000003</v>
      </c>
      <c r="AC172" t="s">
        <v>35</v>
      </c>
      <c r="AD172">
        <v>2017</v>
      </c>
      <c r="AE172" t="s">
        <v>33</v>
      </c>
      <c r="AF172" t="s">
        <v>179</v>
      </c>
    </row>
    <row r="173" spans="1:32" hidden="1" x14ac:dyDescent="0.25">
      <c r="A173" s="4" t="s">
        <v>88</v>
      </c>
      <c r="B173" s="1">
        <v>27</v>
      </c>
      <c r="C173" s="1">
        <v>150</v>
      </c>
      <c r="E173" s="1">
        <f>15/C173</f>
        <v>0.1</v>
      </c>
      <c r="L173" s="1">
        <v>17.34</v>
      </c>
      <c r="M173" s="1">
        <v>1.3</v>
      </c>
      <c r="T173" s="1">
        <v>0.73199999999999998</v>
      </c>
      <c r="AC173" t="s">
        <v>35</v>
      </c>
      <c r="AD173">
        <v>2017</v>
      </c>
      <c r="AE173" t="s">
        <v>33</v>
      </c>
      <c r="AF173" t="s">
        <v>180</v>
      </c>
    </row>
    <row r="174" spans="1:32" hidden="1" x14ac:dyDescent="0.25">
      <c r="A174" s="4" t="s">
        <v>88</v>
      </c>
      <c r="B174" s="1">
        <v>27</v>
      </c>
      <c r="C174" s="1">
        <v>200</v>
      </c>
      <c r="E174" s="1">
        <f>15/C174</f>
        <v>7.4999999999999997E-2</v>
      </c>
      <c r="L174" s="1">
        <v>17.05</v>
      </c>
      <c r="M174" s="1">
        <v>1.02</v>
      </c>
      <c r="T174" s="1">
        <v>0.56000000000000005</v>
      </c>
      <c r="AC174" t="s">
        <v>35</v>
      </c>
      <c r="AD174">
        <v>2017</v>
      </c>
      <c r="AE174" t="s">
        <v>33</v>
      </c>
      <c r="AF174" t="s">
        <v>181</v>
      </c>
    </row>
    <row r="175" spans="1:32" hidden="1" x14ac:dyDescent="0.25">
      <c r="A175" s="4" t="s">
        <v>87</v>
      </c>
      <c r="B175" s="1">
        <v>22</v>
      </c>
      <c r="C175" s="1">
        <v>15</v>
      </c>
      <c r="D175" s="1">
        <v>10</v>
      </c>
      <c r="E175" s="1">
        <f>D175/C175</f>
        <v>0.66666666666666663</v>
      </c>
      <c r="T175" s="1">
        <v>0.66800000000000004</v>
      </c>
      <c r="U175" s="1">
        <v>0.04</v>
      </c>
      <c r="AC175" t="s">
        <v>32</v>
      </c>
      <c r="AD175">
        <v>2012</v>
      </c>
      <c r="AE175" t="s">
        <v>42</v>
      </c>
      <c r="AF175" t="s">
        <v>182</v>
      </c>
    </row>
    <row r="176" spans="1:32" hidden="1" x14ac:dyDescent="0.25">
      <c r="A176" s="4" t="s">
        <v>87</v>
      </c>
      <c r="B176" s="1">
        <v>22</v>
      </c>
      <c r="C176" s="1">
        <v>30</v>
      </c>
      <c r="D176" s="1">
        <v>10</v>
      </c>
      <c r="E176" s="1">
        <f>D176/C176</f>
        <v>0.33333333333333331</v>
      </c>
      <c r="T176" s="1">
        <v>0.47</v>
      </c>
      <c r="U176" s="1">
        <v>0.03</v>
      </c>
      <c r="AC176" t="s">
        <v>32</v>
      </c>
      <c r="AD176">
        <v>2012</v>
      </c>
      <c r="AE176" t="s">
        <v>42</v>
      </c>
      <c r="AF176" t="s">
        <v>182</v>
      </c>
    </row>
    <row r="177" spans="1:32" hidden="1" x14ac:dyDescent="0.25">
      <c r="A177" s="4" t="s">
        <v>87</v>
      </c>
      <c r="B177" s="1">
        <v>32</v>
      </c>
      <c r="C177" s="1">
        <v>15</v>
      </c>
      <c r="D177" s="1">
        <v>10</v>
      </c>
      <c r="E177" s="1">
        <f>D177/C177</f>
        <v>0.66666666666666663</v>
      </c>
      <c r="T177" s="1">
        <v>0.74</v>
      </c>
      <c r="U177" s="1">
        <v>3.6999999999999998E-2</v>
      </c>
      <c r="AC177" t="s">
        <v>32</v>
      </c>
      <c r="AD177">
        <v>2012</v>
      </c>
      <c r="AE177" t="s">
        <v>42</v>
      </c>
      <c r="AF177" t="s">
        <v>182</v>
      </c>
    </row>
    <row r="178" spans="1:32" hidden="1" x14ac:dyDescent="0.25">
      <c r="A178" s="4" t="s">
        <v>87</v>
      </c>
      <c r="B178" s="1">
        <v>32</v>
      </c>
      <c r="C178" s="1">
        <v>30</v>
      </c>
      <c r="D178" s="1">
        <v>10</v>
      </c>
      <c r="E178" s="1">
        <f>D178/C178</f>
        <v>0.33333333333333331</v>
      </c>
      <c r="T178" s="1">
        <v>0.28999999999999998</v>
      </c>
      <c r="U178" s="1">
        <v>3.3000000000000002E-2</v>
      </c>
      <c r="AC178" t="s">
        <v>32</v>
      </c>
      <c r="AD178">
        <v>2012</v>
      </c>
      <c r="AE178" t="s">
        <v>42</v>
      </c>
      <c r="AF178" t="s">
        <v>182</v>
      </c>
    </row>
    <row r="179" spans="1:32" x14ac:dyDescent="0.25">
      <c r="A179" s="4" t="s">
        <v>86</v>
      </c>
      <c r="B179" s="1">
        <v>27</v>
      </c>
      <c r="E179" s="1">
        <v>1</v>
      </c>
      <c r="L179" s="1">
        <v>10.85</v>
      </c>
      <c r="M179" s="1">
        <v>1.18</v>
      </c>
      <c r="N179" s="1">
        <v>0.68500000000000005</v>
      </c>
      <c r="O179" s="1">
        <v>0.08</v>
      </c>
      <c r="Z179" s="1">
        <v>45.6</v>
      </c>
      <c r="AA179">
        <v>300</v>
      </c>
      <c r="AB179" s="1">
        <v>3.1</v>
      </c>
      <c r="AC179" t="s">
        <v>40</v>
      </c>
      <c r="AD179" s="1">
        <v>2013</v>
      </c>
      <c r="AE179" t="s">
        <v>36</v>
      </c>
      <c r="AF179" t="s">
        <v>183</v>
      </c>
    </row>
    <row r="180" spans="1:32" x14ac:dyDescent="0.25">
      <c r="A180" s="4" t="s">
        <v>86</v>
      </c>
      <c r="B180" s="1">
        <v>27</v>
      </c>
      <c r="E180" s="1">
        <v>1</v>
      </c>
      <c r="L180" s="1">
        <v>10.87</v>
      </c>
      <c r="M180" s="1">
        <v>1.52</v>
      </c>
      <c r="N180" s="1">
        <v>0.72</v>
      </c>
      <c r="O180" s="1">
        <v>7.0000000000000007E-2</v>
      </c>
      <c r="Z180" s="1">
        <v>61</v>
      </c>
      <c r="AA180">
        <v>300</v>
      </c>
      <c r="AB180" s="1">
        <v>13</v>
      </c>
      <c r="AC180" t="s">
        <v>40</v>
      </c>
      <c r="AD180" s="1">
        <v>2013</v>
      </c>
      <c r="AE180" t="s">
        <v>36</v>
      </c>
      <c r="AF180" t="s">
        <v>183</v>
      </c>
    </row>
    <row r="181" spans="1:32" x14ac:dyDescent="0.25">
      <c r="A181" s="4" t="s">
        <v>85</v>
      </c>
      <c r="B181" s="1">
        <v>25</v>
      </c>
      <c r="E181" s="1">
        <v>0.41666666666666669</v>
      </c>
      <c r="L181" s="1">
        <v>12.15</v>
      </c>
      <c r="M181" s="1">
        <v>0.2</v>
      </c>
      <c r="N181" s="1">
        <v>0.85399999999999998</v>
      </c>
      <c r="O181" s="1">
        <v>1.9E-2</v>
      </c>
      <c r="P181" s="1">
        <v>0.86499999999999999</v>
      </c>
      <c r="Q181" s="1">
        <v>0.03</v>
      </c>
      <c r="R181" s="1">
        <v>0.93600000000000005</v>
      </c>
      <c r="S181" s="1">
        <v>1.2E-2</v>
      </c>
      <c r="Z181" s="1">
        <v>35</v>
      </c>
      <c r="AA181">
        <v>10</v>
      </c>
      <c r="AC181" t="s">
        <v>40</v>
      </c>
      <c r="AD181">
        <v>2010</v>
      </c>
      <c r="AE181" t="s">
        <v>36</v>
      </c>
      <c r="AF181" t="s">
        <v>184</v>
      </c>
    </row>
    <row r="182" spans="1:32" x14ac:dyDescent="0.25">
      <c r="A182" s="4" t="s">
        <v>85</v>
      </c>
      <c r="B182" s="1">
        <v>25</v>
      </c>
      <c r="E182" s="1">
        <v>0.41666666666666669</v>
      </c>
      <c r="L182" s="1">
        <v>12.28</v>
      </c>
      <c r="M182" s="1">
        <v>0.2</v>
      </c>
      <c r="N182" s="1">
        <v>0.83199999999999996</v>
      </c>
      <c r="O182" s="1">
        <v>2.7E-2</v>
      </c>
      <c r="P182" s="1">
        <v>0.88500000000000001</v>
      </c>
      <c r="Q182" s="1">
        <v>2.1999999999999999E-2</v>
      </c>
      <c r="R182" s="1">
        <v>0.94899999999999995</v>
      </c>
      <c r="S182" s="1">
        <v>7.0000000000000001E-3</v>
      </c>
      <c r="Z182" s="1">
        <v>40</v>
      </c>
      <c r="AA182">
        <v>10</v>
      </c>
      <c r="AC182" t="s">
        <v>40</v>
      </c>
      <c r="AD182">
        <v>2010</v>
      </c>
      <c r="AE182" t="s">
        <v>36</v>
      </c>
      <c r="AF182" t="s">
        <v>185</v>
      </c>
    </row>
    <row r="183" spans="1:32" x14ac:dyDescent="0.25">
      <c r="A183" s="4" t="s">
        <v>85</v>
      </c>
      <c r="B183" s="1">
        <v>25</v>
      </c>
      <c r="E183" s="1">
        <v>0.41666666666666669</v>
      </c>
      <c r="L183" s="1">
        <v>12.3</v>
      </c>
      <c r="M183" s="1">
        <v>0.2</v>
      </c>
      <c r="N183" s="1">
        <v>0.56200000000000006</v>
      </c>
      <c r="O183" s="1">
        <v>0.05</v>
      </c>
      <c r="P183" s="1">
        <v>0.87</v>
      </c>
      <c r="Q183" s="1">
        <v>2.5999999999999999E-2</v>
      </c>
      <c r="R183" s="1">
        <v>0.91900000000000004</v>
      </c>
      <c r="S183" s="1">
        <v>5.0000000000000001E-3</v>
      </c>
      <c r="Z183" s="1">
        <v>44</v>
      </c>
      <c r="AA183">
        <v>10</v>
      </c>
      <c r="AC183" t="s">
        <v>40</v>
      </c>
      <c r="AD183">
        <v>2010</v>
      </c>
      <c r="AE183" t="s">
        <v>36</v>
      </c>
      <c r="AF183" t="s">
        <v>186</v>
      </c>
    </row>
    <row r="184" spans="1:32" x14ac:dyDescent="0.25">
      <c r="A184" s="4" t="s">
        <v>84</v>
      </c>
      <c r="B184" s="1">
        <v>29</v>
      </c>
      <c r="X184" s="1">
        <v>2.31</v>
      </c>
      <c r="Y184" s="1">
        <v>0.11</v>
      </c>
      <c r="Z184" s="1">
        <v>21.86</v>
      </c>
      <c r="AA184" s="1">
        <v>10</v>
      </c>
      <c r="AC184" t="s">
        <v>35</v>
      </c>
      <c r="AD184">
        <v>2019</v>
      </c>
      <c r="AF184" t="s">
        <v>187</v>
      </c>
    </row>
    <row r="185" spans="1:32" x14ac:dyDescent="0.25">
      <c r="A185" s="4" t="s">
        <v>84</v>
      </c>
      <c r="B185" s="1">
        <v>15</v>
      </c>
      <c r="X185" s="1">
        <v>2.63</v>
      </c>
      <c r="Y185" s="1">
        <v>0.12</v>
      </c>
      <c r="Z185" s="1">
        <v>34</v>
      </c>
      <c r="AA185" s="1">
        <v>10</v>
      </c>
      <c r="AC185" t="s">
        <v>35</v>
      </c>
      <c r="AD185">
        <v>2019</v>
      </c>
      <c r="AF185" t="s">
        <v>187</v>
      </c>
    </row>
    <row r="186" spans="1:32" x14ac:dyDescent="0.25">
      <c r="A186" s="4" t="s">
        <v>84</v>
      </c>
      <c r="B186" s="1">
        <v>20</v>
      </c>
      <c r="X186" s="1">
        <v>1.97</v>
      </c>
      <c r="Y186" s="1">
        <v>0.12</v>
      </c>
      <c r="Z186" s="1">
        <v>19.2</v>
      </c>
      <c r="AA186" s="1">
        <v>10</v>
      </c>
      <c r="AC186" t="s">
        <v>35</v>
      </c>
      <c r="AD186">
        <v>2019</v>
      </c>
      <c r="AF186" t="s">
        <v>187</v>
      </c>
    </row>
    <row r="187" spans="1:32" x14ac:dyDescent="0.25">
      <c r="A187" s="4" t="s">
        <v>84</v>
      </c>
      <c r="B187" s="1">
        <v>25</v>
      </c>
      <c r="X187" s="1">
        <v>2.2999999999999998</v>
      </c>
      <c r="Y187" s="1">
        <v>0.12</v>
      </c>
      <c r="Z187" s="1">
        <v>41</v>
      </c>
      <c r="AA187" s="1">
        <v>10</v>
      </c>
      <c r="AC187" t="s">
        <v>35</v>
      </c>
      <c r="AD187">
        <v>2019</v>
      </c>
      <c r="AF187" t="s">
        <v>187</v>
      </c>
    </row>
    <row r="188" spans="1:32" x14ac:dyDescent="0.25">
      <c r="A188" s="4" t="s">
        <v>84</v>
      </c>
      <c r="B188" s="1">
        <v>30</v>
      </c>
      <c r="X188" s="1">
        <v>2.13</v>
      </c>
      <c r="Y188" s="1">
        <v>0.16</v>
      </c>
      <c r="Z188" s="1">
        <v>27</v>
      </c>
      <c r="AA188" s="1">
        <v>10</v>
      </c>
      <c r="AC188" t="s">
        <v>35</v>
      </c>
      <c r="AD188">
        <v>2019</v>
      </c>
      <c r="AF188" t="s">
        <v>187</v>
      </c>
    </row>
    <row r="189" spans="1:32" x14ac:dyDescent="0.25">
      <c r="A189" s="4" t="s">
        <v>84</v>
      </c>
      <c r="B189" s="1">
        <v>35</v>
      </c>
      <c r="X189" s="1">
        <v>1.91</v>
      </c>
      <c r="Y189" s="1">
        <v>0.1</v>
      </c>
      <c r="Z189" s="1">
        <v>21.86</v>
      </c>
      <c r="AA189" s="1">
        <v>10</v>
      </c>
      <c r="AC189" t="s">
        <v>35</v>
      </c>
      <c r="AD189">
        <v>2019</v>
      </c>
      <c r="AF189" t="s">
        <v>187</v>
      </c>
    </row>
    <row r="190" spans="1:32" x14ac:dyDescent="0.25">
      <c r="A190" s="4" t="s">
        <v>84</v>
      </c>
      <c r="B190" s="1">
        <v>29</v>
      </c>
      <c r="X190" s="1">
        <v>2.14</v>
      </c>
      <c r="Y190" s="1">
        <v>0.09</v>
      </c>
      <c r="Z190" s="1">
        <v>30.93</v>
      </c>
      <c r="AA190" s="1">
        <v>10</v>
      </c>
      <c r="AC190" t="s">
        <v>35</v>
      </c>
      <c r="AD190">
        <v>2019</v>
      </c>
      <c r="AF190" t="s">
        <v>187</v>
      </c>
    </row>
    <row r="191" spans="1:32" x14ac:dyDescent="0.25">
      <c r="A191" s="4" t="s">
        <v>84</v>
      </c>
      <c r="B191" s="1">
        <v>20</v>
      </c>
      <c r="X191" s="1">
        <v>2.34</v>
      </c>
      <c r="Y191" s="1">
        <v>0.1</v>
      </c>
      <c r="Z191" s="1">
        <v>35.840000000000003</v>
      </c>
      <c r="AA191" s="1">
        <v>10</v>
      </c>
      <c r="AC191" t="s">
        <v>35</v>
      </c>
      <c r="AD191">
        <v>2019</v>
      </c>
      <c r="AF191" t="s">
        <v>187</v>
      </c>
    </row>
    <row r="192" spans="1:32" x14ac:dyDescent="0.25">
      <c r="A192" s="4" t="s">
        <v>84</v>
      </c>
      <c r="B192" s="1">
        <v>25</v>
      </c>
      <c r="X192" s="1">
        <v>2.04</v>
      </c>
      <c r="Y192" s="1">
        <v>7.0000000000000007E-2</v>
      </c>
      <c r="Z192" s="1">
        <v>28.99</v>
      </c>
      <c r="AA192" s="1">
        <v>10</v>
      </c>
      <c r="AC192" t="s">
        <v>35</v>
      </c>
      <c r="AD192">
        <v>2019</v>
      </c>
      <c r="AF192" t="s">
        <v>187</v>
      </c>
    </row>
    <row r="193" spans="1:32" x14ac:dyDescent="0.25">
      <c r="A193" s="4" t="s">
        <v>84</v>
      </c>
      <c r="B193" s="1">
        <v>30</v>
      </c>
      <c r="X193" s="1">
        <v>1.97</v>
      </c>
      <c r="Y193" s="1">
        <v>0.14000000000000001</v>
      </c>
      <c r="Z193" s="1">
        <v>26.2</v>
      </c>
      <c r="AA193" s="1">
        <v>10</v>
      </c>
      <c r="AC193" t="s">
        <v>35</v>
      </c>
      <c r="AD193">
        <v>2019</v>
      </c>
      <c r="AF193" t="s">
        <v>187</v>
      </c>
    </row>
    <row r="194" spans="1:32" x14ac:dyDescent="0.25">
      <c r="A194" s="4" t="s">
        <v>84</v>
      </c>
      <c r="B194" s="1">
        <v>35</v>
      </c>
      <c r="X194" s="1">
        <v>1.82</v>
      </c>
      <c r="Y194" s="1">
        <v>0.08</v>
      </c>
      <c r="Z194" s="1">
        <v>24.8</v>
      </c>
      <c r="AA194" s="1">
        <v>10</v>
      </c>
      <c r="AC194" t="s">
        <v>35</v>
      </c>
      <c r="AD194">
        <v>2019</v>
      </c>
      <c r="AF194" t="s">
        <v>187</v>
      </c>
    </row>
    <row r="195" spans="1:32" hidden="1" x14ac:dyDescent="0.25">
      <c r="A195" s="4" t="s">
        <v>83</v>
      </c>
      <c r="B195" s="1">
        <v>25</v>
      </c>
      <c r="C195" s="1">
        <v>50</v>
      </c>
      <c r="E195" s="1">
        <v>0.1</v>
      </c>
      <c r="H195" s="1">
        <v>9.17</v>
      </c>
      <c r="I195" s="1">
        <v>0.75</v>
      </c>
      <c r="J195" s="1">
        <v>1.83</v>
      </c>
      <c r="K195" s="1">
        <v>0.63</v>
      </c>
      <c r="N195" s="1">
        <v>0.96499999999999997</v>
      </c>
      <c r="O195" s="1">
        <v>7.1000000000000004E-3</v>
      </c>
      <c r="P195" s="1">
        <v>0.90673575129533679</v>
      </c>
      <c r="Q195" s="1">
        <v>7.1000000000000004E-3</v>
      </c>
      <c r="R195" s="1">
        <v>0.96571428571428564</v>
      </c>
      <c r="S195" s="1">
        <v>6.3600000000000004E-2</v>
      </c>
      <c r="AC195" t="s">
        <v>35</v>
      </c>
      <c r="AD195" s="1">
        <v>2018</v>
      </c>
      <c r="AE195" t="s">
        <v>34</v>
      </c>
      <c r="AF195" t="s">
        <v>188</v>
      </c>
    </row>
    <row r="196" spans="1:32" hidden="1" x14ac:dyDescent="0.25">
      <c r="A196" s="4" t="s">
        <v>83</v>
      </c>
      <c r="B196" s="1">
        <v>25</v>
      </c>
      <c r="C196" s="1">
        <v>50</v>
      </c>
      <c r="E196" s="1">
        <v>0.6</v>
      </c>
      <c r="H196" s="1">
        <v>8.5</v>
      </c>
      <c r="I196" s="1">
        <v>0.55000000000000004</v>
      </c>
      <c r="J196" s="1">
        <v>1.83</v>
      </c>
      <c r="K196" s="1">
        <v>0.52</v>
      </c>
      <c r="N196" s="1">
        <v>0.92500000000000004</v>
      </c>
      <c r="O196" s="1">
        <v>7.1000000000000004E-3</v>
      </c>
      <c r="P196" s="1">
        <v>0.89189189189189177</v>
      </c>
      <c r="Q196" s="1">
        <v>7.1000000000000004E-3</v>
      </c>
      <c r="R196" s="1">
        <v>0.87878787878787878</v>
      </c>
      <c r="S196" s="1">
        <v>7.1000000000000004E-3</v>
      </c>
      <c r="AC196" t="s">
        <v>35</v>
      </c>
      <c r="AD196" s="1">
        <v>2018</v>
      </c>
      <c r="AE196" t="s">
        <v>34</v>
      </c>
      <c r="AF196" t="s">
        <v>188</v>
      </c>
    </row>
    <row r="197" spans="1:32" hidden="1" x14ac:dyDescent="0.25">
      <c r="A197" s="4" t="s">
        <v>83</v>
      </c>
      <c r="B197" s="1">
        <v>25</v>
      </c>
      <c r="C197" s="1">
        <v>50</v>
      </c>
      <c r="E197" s="1">
        <v>1</v>
      </c>
      <c r="H197" s="1">
        <v>8</v>
      </c>
      <c r="I197" s="1">
        <v>0.63</v>
      </c>
      <c r="J197" s="1">
        <v>1.67</v>
      </c>
      <c r="K197" s="1">
        <v>0.52</v>
      </c>
      <c r="N197" s="1">
        <v>0.87</v>
      </c>
      <c r="O197" s="1">
        <v>1.41E-2</v>
      </c>
      <c r="P197" s="1">
        <v>0.8908045977011495</v>
      </c>
      <c r="Q197" s="1">
        <v>7.1000000000000004E-3</v>
      </c>
      <c r="R197" s="1">
        <v>0.89677419354838706</v>
      </c>
      <c r="S197" s="1">
        <v>7.1000000000000004E-3</v>
      </c>
      <c r="AC197" t="s">
        <v>35</v>
      </c>
      <c r="AD197" s="1">
        <v>2018</v>
      </c>
      <c r="AE197" t="s">
        <v>34</v>
      </c>
      <c r="AF197" t="s">
        <v>188</v>
      </c>
    </row>
    <row r="198" spans="1:32" hidden="1" x14ac:dyDescent="0.25">
      <c r="A198" s="4" t="s">
        <v>83</v>
      </c>
      <c r="B198" s="1">
        <v>25</v>
      </c>
      <c r="C198" s="1">
        <v>50</v>
      </c>
      <c r="E198" s="1">
        <v>1.6</v>
      </c>
      <c r="H198" s="1">
        <v>7.5</v>
      </c>
      <c r="I198" s="1">
        <v>0.55000000000000004</v>
      </c>
      <c r="J198" s="1">
        <v>1.33</v>
      </c>
      <c r="K198" s="1">
        <v>0.41</v>
      </c>
      <c r="N198" s="1">
        <v>0.79</v>
      </c>
      <c r="O198" s="1">
        <v>1.41E-2</v>
      </c>
      <c r="P198" s="1">
        <v>0.79113924050632911</v>
      </c>
      <c r="Q198" s="1">
        <v>3.5300000000000002E-3</v>
      </c>
      <c r="R198" s="1">
        <v>0.8</v>
      </c>
      <c r="S198" s="1">
        <v>1E-3</v>
      </c>
      <c r="AC198" t="s">
        <v>35</v>
      </c>
      <c r="AD198" s="1">
        <v>2018</v>
      </c>
      <c r="AE198" t="s">
        <v>34</v>
      </c>
      <c r="AF198" t="s">
        <v>188</v>
      </c>
    </row>
    <row r="199" spans="1:32" hidden="1" x14ac:dyDescent="0.25">
      <c r="A199" s="4" t="s">
        <v>82</v>
      </c>
      <c r="B199" s="1">
        <v>28</v>
      </c>
      <c r="C199" s="1">
        <v>25</v>
      </c>
      <c r="D199" s="1">
        <v>25</v>
      </c>
      <c r="E199" s="1">
        <f>D199/C199</f>
        <v>1</v>
      </c>
      <c r="X199" s="1">
        <v>2.98</v>
      </c>
      <c r="Y199" s="1">
        <v>1.6E-2</v>
      </c>
      <c r="AC199" t="s">
        <v>32</v>
      </c>
      <c r="AD199" s="1">
        <v>2009</v>
      </c>
      <c r="AE199" t="s">
        <v>33</v>
      </c>
      <c r="AF199" t="s">
        <v>189</v>
      </c>
    </row>
    <row r="200" spans="1:32" hidden="1" x14ac:dyDescent="0.25">
      <c r="A200" s="4" t="s">
        <v>82</v>
      </c>
      <c r="B200" s="1">
        <v>28</v>
      </c>
      <c r="C200" s="1">
        <v>50</v>
      </c>
      <c r="D200" s="1">
        <v>25</v>
      </c>
      <c r="E200" s="1">
        <f t="shared" ref="E200:E203" si="6">D200/C200</f>
        <v>0.5</v>
      </c>
      <c r="X200" s="1">
        <v>2.73</v>
      </c>
      <c r="Y200" s="1">
        <v>0.02</v>
      </c>
      <c r="AC200" t="s">
        <v>32</v>
      </c>
      <c r="AD200" s="1">
        <v>2009</v>
      </c>
      <c r="AE200" t="s">
        <v>33</v>
      </c>
      <c r="AF200" t="s">
        <v>189</v>
      </c>
    </row>
    <row r="201" spans="1:32" hidden="1" x14ac:dyDescent="0.25">
      <c r="A201" s="4" t="s">
        <v>82</v>
      </c>
      <c r="B201" s="1">
        <v>28</v>
      </c>
      <c r="C201" s="1">
        <v>100</v>
      </c>
      <c r="D201" s="1">
        <v>25</v>
      </c>
      <c r="E201" s="1">
        <f t="shared" si="6"/>
        <v>0.25</v>
      </c>
      <c r="X201" s="1">
        <v>2.19</v>
      </c>
      <c r="Y201" s="1">
        <v>0.04</v>
      </c>
      <c r="AC201" t="s">
        <v>32</v>
      </c>
      <c r="AD201" s="1">
        <v>2009</v>
      </c>
      <c r="AE201" t="s">
        <v>33</v>
      </c>
      <c r="AF201" t="s">
        <v>189</v>
      </c>
    </row>
    <row r="202" spans="1:32" hidden="1" x14ac:dyDescent="0.25">
      <c r="A202" s="4" t="s">
        <v>81</v>
      </c>
      <c r="B202" s="1">
        <v>8</v>
      </c>
      <c r="C202" s="1">
        <v>20</v>
      </c>
      <c r="D202" s="1">
        <f>35*0.15*0.25</f>
        <v>1.3125</v>
      </c>
      <c r="E202" s="1">
        <f t="shared" ref="E202" si="7">D202/C202</f>
        <v>6.5625000000000003E-2</v>
      </c>
      <c r="L202" s="1">
        <v>100</v>
      </c>
      <c r="M202" s="1">
        <v>0.01</v>
      </c>
      <c r="P202" s="1">
        <v>0</v>
      </c>
      <c r="Q202" s="1">
        <v>0.1</v>
      </c>
      <c r="R202" s="1">
        <v>0</v>
      </c>
      <c r="S202" s="1">
        <v>0.01</v>
      </c>
      <c r="AC202" t="s">
        <v>32</v>
      </c>
      <c r="AD202" s="1">
        <v>2012</v>
      </c>
      <c r="AE202" t="s">
        <v>33</v>
      </c>
      <c r="AF202" t="s">
        <v>189</v>
      </c>
    </row>
    <row r="203" spans="1:32" hidden="1" x14ac:dyDescent="0.25">
      <c r="A203" s="4" t="s">
        <v>81</v>
      </c>
      <c r="B203" s="1">
        <v>8</v>
      </c>
      <c r="C203" s="1">
        <v>20</v>
      </c>
      <c r="D203" s="1">
        <f>35*0.15*0.5</f>
        <v>2.625</v>
      </c>
      <c r="E203" s="1">
        <f t="shared" si="6"/>
        <v>0.13125000000000001</v>
      </c>
      <c r="L203" s="1">
        <v>100</v>
      </c>
      <c r="M203" s="1">
        <v>0.01</v>
      </c>
      <c r="P203" s="1">
        <v>0</v>
      </c>
      <c r="Q203" s="1">
        <v>0.1</v>
      </c>
      <c r="R203" s="1">
        <v>0</v>
      </c>
      <c r="S203" s="1">
        <v>0.01</v>
      </c>
      <c r="AC203" t="s">
        <v>32</v>
      </c>
      <c r="AD203" s="1">
        <v>2012</v>
      </c>
      <c r="AE203" t="s">
        <v>33</v>
      </c>
      <c r="AF203" t="s">
        <v>189</v>
      </c>
    </row>
    <row r="204" spans="1:32" hidden="1" x14ac:dyDescent="0.25">
      <c r="A204" s="4" t="s">
        <v>81</v>
      </c>
      <c r="B204" s="1">
        <v>8</v>
      </c>
      <c r="C204" s="1">
        <v>20</v>
      </c>
      <c r="D204" s="1">
        <f>35*0.15</f>
        <v>5.25</v>
      </c>
      <c r="E204" s="1">
        <f t="shared" ref="E204:E206" si="8">D204/C204</f>
        <v>0.26250000000000001</v>
      </c>
      <c r="L204" s="1">
        <v>100</v>
      </c>
      <c r="M204" s="1">
        <v>0.01</v>
      </c>
      <c r="P204" s="1">
        <v>0</v>
      </c>
      <c r="Q204" s="1">
        <v>0.1</v>
      </c>
      <c r="R204" s="1">
        <v>0</v>
      </c>
      <c r="S204" s="1">
        <v>0.01</v>
      </c>
      <c r="AC204" t="s">
        <v>32</v>
      </c>
      <c r="AD204" s="1">
        <v>2012</v>
      </c>
      <c r="AE204" t="s">
        <v>33</v>
      </c>
      <c r="AF204" t="s">
        <v>189</v>
      </c>
    </row>
    <row r="205" spans="1:32" hidden="1" x14ac:dyDescent="0.25">
      <c r="A205" s="4" t="s">
        <v>81</v>
      </c>
      <c r="B205" s="1">
        <v>14</v>
      </c>
      <c r="C205" s="1">
        <v>20</v>
      </c>
      <c r="D205" s="1">
        <f>35*0.15*0.25</f>
        <v>1.3125</v>
      </c>
      <c r="E205" s="1">
        <f t="shared" si="8"/>
        <v>6.5625000000000003E-2</v>
      </c>
      <c r="L205" s="1">
        <v>50.3</v>
      </c>
      <c r="M205" s="1">
        <v>4</v>
      </c>
      <c r="Q205" s="1">
        <v>0.1</v>
      </c>
      <c r="T205" s="1">
        <v>4.1669999999999999E-2</v>
      </c>
      <c r="AC205" t="s">
        <v>32</v>
      </c>
      <c r="AD205" s="1">
        <v>2012</v>
      </c>
      <c r="AE205" t="s">
        <v>33</v>
      </c>
      <c r="AF205" t="s">
        <v>189</v>
      </c>
    </row>
    <row r="206" spans="1:32" hidden="1" x14ac:dyDescent="0.25">
      <c r="A206" s="4" t="s">
        <v>81</v>
      </c>
      <c r="B206" s="1">
        <v>14</v>
      </c>
      <c r="C206" s="1">
        <v>20</v>
      </c>
      <c r="D206" s="1">
        <f>35*0.15*0.5</f>
        <v>2.625</v>
      </c>
      <c r="E206" s="1">
        <f t="shared" si="8"/>
        <v>0.13125000000000001</v>
      </c>
      <c r="L206" s="1">
        <v>43</v>
      </c>
      <c r="M206" s="1">
        <v>0.8</v>
      </c>
      <c r="T206" s="1">
        <v>0.5</v>
      </c>
      <c r="AC206" t="s">
        <v>32</v>
      </c>
      <c r="AD206" s="1">
        <v>2012</v>
      </c>
      <c r="AE206" t="s">
        <v>33</v>
      </c>
      <c r="AF206" t="s">
        <v>189</v>
      </c>
    </row>
    <row r="207" spans="1:32" hidden="1" x14ac:dyDescent="0.25">
      <c r="A207" s="4" t="s">
        <v>81</v>
      </c>
      <c r="B207" s="1">
        <v>14</v>
      </c>
      <c r="C207" s="1">
        <v>20</v>
      </c>
      <c r="D207" s="1">
        <f>35*0.15</f>
        <v>5.25</v>
      </c>
      <c r="E207" s="1">
        <f t="shared" ref="E207:E231" si="9">D207/C207</f>
        <v>0.26250000000000001</v>
      </c>
      <c r="L207" s="1">
        <v>100</v>
      </c>
      <c r="M207" s="1">
        <v>0.01</v>
      </c>
      <c r="T207" s="1">
        <v>0.83299999999999996</v>
      </c>
      <c r="AC207" t="s">
        <v>32</v>
      </c>
      <c r="AD207" s="1">
        <v>2012</v>
      </c>
      <c r="AE207" t="s">
        <v>33</v>
      </c>
      <c r="AF207" t="s">
        <v>189</v>
      </c>
    </row>
    <row r="208" spans="1:32" hidden="1" x14ac:dyDescent="0.25">
      <c r="A208" s="4" t="s">
        <v>81</v>
      </c>
      <c r="B208" s="1">
        <v>19</v>
      </c>
      <c r="C208" s="1">
        <v>20</v>
      </c>
      <c r="D208" s="1">
        <f>35*0.15*0.25</f>
        <v>1.3125</v>
      </c>
      <c r="E208" s="1">
        <f t="shared" si="9"/>
        <v>6.5625000000000003E-2</v>
      </c>
      <c r="L208" s="1">
        <v>19.399999999999999</v>
      </c>
      <c r="M208" s="1">
        <v>1</v>
      </c>
      <c r="AC208" t="s">
        <v>32</v>
      </c>
      <c r="AD208" s="1">
        <v>2012</v>
      </c>
      <c r="AE208" t="s">
        <v>33</v>
      </c>
      <c r="AF208" t="s">
        <v>189</v>
      </c>
    </row>
    <row r="209" spans="1:32" hidden="1" x14ac:dyDescent="0.25">
      <c r="A209" s="4" t="s">
        <v>81</v>
      </c>
      <c r="B209" s="1">
        <v>19</v>
      </c>
      <c r="C209" s="1">
        <v>20</v>
      </c>
      <c r="D209" s="1">
        <f>35*0.15*0.5</f>
        <v>2.625</v>
      </c>
      <c r="E209" s="1">
        <f t="shared" si="9"/>
        <v>0.13125000000000001</v>
      </c>
      <c r="L209" s="1">
        <v>15.9</v>
      </c>
      <c r="M209" s="1">
        <v>0.2</v>
      </c>
      <c r="AC209" t="s">
        <v>32</v>
      </c>
      <c r="AD209" s="1">
        <v>2012</v>
      </c>
      <c r="AE209" t="s">
        <v>33</v>
      </c>
      <c r="AF209" t="s">
        <v>189</v>
      </c>
    </row>
    <row r="210" spans="1:32" hidden="1" x14ac:dyDescent="0.25">
      <c r="A210" s="4" t="s">
        <v>81</v>
      </c>
      <c r="B210" s="1">
        <v>19</v>
      </c>
      <c r="C210" s="1">
        <v>20</v>
      </c>
      <c r="D210" s="1">
        <f>35*0.15</f>
        <v>5.25</v>
      </c>
      <c r="E210" s="1">
        <f t="shared" si="9"/>
        <v>0.26250000000000001</v>
      </c>
      <c r="L210" s="1">
        <v>15.94</v>
      </c>
      <c r="M210" s="1">
        <v>0.4</v>
      </c>
      <c r="AC210" t="s">
        <v>32</v>
      </c>
      <c r="AD210" s="1">
        <v>2012</v>
      </c>
      <c r="AE210" t="s">
        <v>33</v>
      </c>
      <c r="AF210" t="s">
        <v>189</v>
      </c>
    </row>
    <row r="211" spans="1:32" hidden="1" x14ac:dyDescent="0.25">
      <c r="A211" s="4" t="s">
        <v>81</v>
      </c>
      <c r="B211" s="1">
        <v>24</v>
      </c>
      <c r="C211" s="1">
        <v>20</v>
      </c>
      <c r="D211" s="1">
        <f>35*0.15*0.25</f>
        <v>1.3125</v>
      </c>
      <c r="E211" s="1">
        <f t="shared" si="9"/>
        <v>6.5625000000000003E-2</v>
      </c>
      <c r="L211" s="1">
        <v>12.47</v>
      </c>
      <c r="M211" s="1">
        <v>0.7</v>
      </c>
      <c r="AC211" t="s">
        <v>32</v>
      </c>
      <c r="AD211" s="1">
        <v>2012</v>
      </c>
      <c r="AE211" t="s">
        <v>33</v>
      </c>
      <c r="AF211" t="s">
        <v>189</v>
      </c>
    </row>
    <row r="212" spans="1:32" hidden="1" x14ac:dyDescent="0.25">
      <c r="A212" s="4" t="s">
        <v>81</v>
      </c>
      <c r="B212" s="1">
        <v>24</v>
      </c>
      <c r="C212" s="1">
        <v>20</v>
      </c>
      <c r="D212" s="1">
        <f>35*0.15*0.5</f>
        <v>2.625</v>
      </c>
      <c r="E212" s="1">
        <f t="shared" si="9"/>
        <v>0.13125000000000001</v>
      </c>
      <c r="L212" s="1">
        <v>10.28</v>
      </c>
      <c r="M212" s="1">
        <v>0.5</v>
      </c>
      <c r="AC212" t="s">
        <v>32</v>
      </c>
      <c r="AD212" s="1">
        <v>2012</v>
      </c>
      <c r="AE212" t="s">
        <v>33</v>
      </c>
      <c r="AF212" t="s">
        <v>189</v>
      </c>
    </row>
    <row r="213" spans="1:32" hidden="1" x14ac:dyDescent="0.25">
      <c r="A213" s="4" t="s">
        <v>81</v>
      </c>
      <c r="B213" s="1">
        <v>24</v>
      </c>
      <c r="C213" s="1">
        <v>20</v>
      </c>
      <c r="D213" s="1">
        <f>35*0.15</f>
        <v>5.25</v>
      </c>
      <c r="E213" s="1">
        <f t="shared" si="9"/>
        <v>0.26250000000000001</v>
      </c>
      <c r="L213" s="1">
        <v>10.3</v>
      </c>
      <c r="M213" s="1">
        <v>0.65</v>
      </c>
      <c r="AC213" t="s">
        <v>32</v>
      </c>
      <c r="AD213" s="1">
        <v>2012</v>
      </c>
      <c r="AE213" t="s">
        <v>33</v>
      </c>
      <c r="AF213" t="s">
        <v>189</v>
      </c>
    </row>
    <row r="214" spans="1:32" hidden="1" x14ac:dyDescent="0.25">
      <c r="A214" s="4" t="s">
        <v>81</v>
      </c>
      <c r="B214" s="1">
        <v>27</v>
      </c>
      <c r="C214" s="1">
        <v>20</v>
      </c>
      <c r="D214" s="1">
        <f>35*0.15*0.25</f>
        <v>1.3125</v>
      </c>
      <c r="E214" s="1">
        <f t="shared" si="9"/>
        <v>6.5625000000000003E-2</v>
      </c>
      <c r="L214" s="1">
        <v>9.68</v>
      </c>
      <c r="M214" s="1">
        <v>0.5</v>
      </c>
      <c r="AC214" t="s">
        <v>32</v>
      </c>
      <c r="AD214" s="1">
        <v>2012</v>
      </c>
      <c r="AE214" t="s">
        <v>33</v>
      </c>
      <c r="AF214" t="s">
        <v>189</v>
      </c>
    </row>
    <row r="215" spans="1:32" hidden="1" x14ac:dyDescent="0.25">
      <c r="A215" s="4" t="s">
        <v>81</v>
      </c>
      <c r="B215" s="1">
        <v>27</v>
      </c>
      <c r="C215" s="1">
        <v>20</v>
      </c>
      <c r="D215" s="1">
        <f>35*0.15*0.5</f>
        <v>2.625</v>
      </c>
      <c r="E215" s="1">
        <f t="shared" si="9"/>
        <v>0.13125000000000001</v>
      </c>
      <c r="L215" s="1">
        <v>8.3699999999999992</v>
      </c>
      <c r="M215" s="1">
        <v>0.9</v>
      </c>
      <c r="AC215" t="s">
        <v>32</v>
      </c>
      <c r="AD215" s="1">
        <v>2012</v>
      </c>
      <c r="AE215" t="s">
        <v>33</v>
      </c>
      <c r="AF215" t="s">
        <v>189</v>
      </c>
    </row>
    <row r="216" spans="1:32" hidden="1" x14ac:dyDescent="0.25">
      <c r="A216" s="4" t="s">
        <v>81</v>
      </c>
      <c r="B216" s="1">
        <v>27</v>
      </c>
      <c r="C216" s="1">
        <v>20</v>
      </c>
      <c r="D216" s="1">
        <f>35*0.15</f>
        <v>5.25</v>
      </c>
      <c r="E216" s="1">
        <f t="shared" si="9"/>
        <v>0.26250000000000001</v>
      </c>
      <c r="L216" s="1">
        <v>8.17</v>
      </c>
      <c r="M216" s="1">
        <v>0.4</v>
      </c>
      <c r="AC216" t="s">
        <v>32</v>
      </c>
      <c r="AD216" s="1">
        <v>2012</v>
      </c>
      <c r="AE216" t="s">
        <v>33</v>
      </c>
      <c r="AF216" t="s">
        <v>189</v>
      </c>
    </row>
    <row r="217" spans="1:32" hidden="1" x14ac:dyDescent="0.25">
      <c r="A217" s="4" t="s">
        <v>81</v>
      </c>
      <c r="B217" s="1">
        <v>8</v>
      </c>
      <c r="C217" s="1">
        <v>20</v>
      </c>
      <c r="D217" s="1">
        <f>35*0.15*0.25</f>
        <v>1.3125</v>
      </c>
      <c r="E217" s="1">
        <f t="shared" si="9"/>
        <v>6.5625000000000003E-2</v>
      </c>
      <c r="L217" s="1">
        <v>100</v>
      </c>
      <c r="M217" s="1">
        <v>0.01</v>
      </c>
      <c r="P217" s="1">
        <v>0</v>
      </c>
      <c r="Q217" s="1">
        <v>0.1</v>
      </c>
      <c r="R217" s="1">
        <v>0</v>
      </c>
      <c r="S217" s="1">
        <v>0.01</v>
      </c>
      <c r="AC217" t="s">
        <v>32</v>
      </c>
      <c r="AD217" s="1">
        <v>2012</v>
      </c>
      <c r="AE217" t="s">
        <v>33</v>
      </c>
      <c r="AF217" t="s">
        <v>189</v>
      </c>
    </row>
    <row r="218" spans="1:32" hidden="1" x14ac:dyDescent="0.25">
      <c r="A218" s="4" t="s">
        <v>81</v>
      </c>
      <c r="B218" s="1">
        <v>8</v>
      </c>
      <c r="C218" s="1">
        <v>20</v>
      </c>
      <c r="D218" s="1">
        <f>35*0.15*0.5</f>
        <v>2.625</v>
      </c>
      <c r="E218" s="1">
        <f t="shared" si="9"/>
        <v>0.13125000000000001</v>
      </c>
      <c r="L218" s="1">
        <v>100</v>
      </c>
      <c r="M218" s="1">
        <v>0.01</v>
      </c>
      <c r="P218" s="1">
        <v>0</v>
      </c>
      <c r="Q218" s="1">
        <v>0.1</v>
      </c>
      <c r="R218" s="1">
        <v>0</v>
      </c>
      <c r="S218" s="1">
        <v>0.01</v>
      </c>
      <c r="AC218" t="s">
        <v>32</v>
      </c>
      <c r="AD218" s="1">
        <v>2012</v>
      </c>
      <c r="AE218" t="s">
        <v>33</v>
      </c>
      <c r="AF218" t="s">
        <v>189</v>
      </c>
    </row>
    <row r="219" spans="1:32" hidden="1" x14ac:dyDescent="0.25">
      <c r="A219" s="4" t="s">
        <v>81</v>
      </c>
      <c r="B219" s="1">
        <v>8</v>
      </c>
      <c r="C219" s="1">
        <v>20</v>
      </c>
      <c r="D219" s="1">
        <f>35*0.15</f>
        <v>5.25</v>
      </c>
      <c r="E219" s="1">
        <f t="shared" si="9"/>
        <v>0.26250000000000001</v>
      </c>
      <c r="L219" s="1">
        <v>100</v>
      </c>
      <c r="M219" s="1">
        <v>0.01</v>
      </c>
      <c r="P219" s="1">
        <v>0</v>
      </c>
      <c r="Q219" s="1">
        <v>0.1</v>
      </c>
      <c r="R219" s="1">
        <v>0</v>
      </c>
      <c r="S219" s="1">
        <v>0.01</v>
      </c>
      <c r="AC219" t="s">
        <v>32</v>
      </c>
      <c r="AD219" s="1">
        <v>2012</v>
      </c>
      <c r="AE219" t="s">
        <v>33</v>
      </c>
      <c r="AF219" t="s">
        <v>189</v>
      </c>
    </row>
    <row r="220" spans="1:32" hidden="1" x14ac:dyDescent="0.25">
      <c r="A220" s="4" t="s">
        <v>81</v>
      </c>
      <c r="B220" s="1">
        <v>14</v>
      </c>
      <c r="C220" s="1">
        <v>20</v>
      </c>
      <c r="D220" s="1">
        <f>35*0.15*0.25</f>
        <v>1.3125</v>
      </c>
      <c r="E220" s="1">
        <f t="shared" si="9"/>
        <v>6.5625000000000003E-2</v>
      </c>
      <c r="L220" s="1">
        <v>50.24</v>
      </c>
      <c r="M220" s="1">
        <v>0.2</v>
      </c>
      <c r="T220" s="1">
        <v>0</v>
      </c>
      <c r="AC220" t="s">
        <v>32</v>
      </c>
      <c r="AD220" s="1">
        <v>2012</v>
      </c>
      <c r="AE220" t="s">
        <v>33</v>
      </c>
      <c r="AF220" t="s">
        <v>189</v>
      </c>
    </row>
    <row r="221" spans="1:32" hidden="1" x14ac:dyDescent="0.25">
      <c r="A221" s="4" t="s">
        <v>81</v>
      </c>
      <c r="B221" s="1">
        <v>14</v>
      </c>
      <c r="C221" s="1">
        <v>20</v>
      </c>
      <c r="D221" s="1">
        <f>35*0.15*0.5</f>
        <v>2.625</v>
      </c>
      <c r="E221" s="1">
        <f t="shared" si="9"/>
        <v>0.13125000000000001</v>
      </c>
      <c r="L221" s="1">
        <v>100</v>
      </c>
      <c r="M221" s="1">
        <v>0.01</v>
      </c>
      <c r="T221" s="1">
        <v>0.54166999999999998</v>
      </c>
      <c r="AC221" t="s">
        <v>32</v>
      </c>
      <c r="AD221" s="1">
        <v>2012</v>
      </c>
      <c r="AE221" t="s">
        <v>33</v>
      </c>
      <c r="AF221" t="s">
        <v>189</v>
      </c>
    </row>
    <row r="222" spans="1:32" hidden="1" x14ac:dyDescent="0.25">
      <c r="A222" s="4" t="s">
        <v>81</v>
      </c>
      <c r="B222" s="1">
        <v>14</v>
      </c>
      <c r="C222" s="1">
        <v>20</v>
      </c>
      <c r="D222" s="1">
        <f>35*0.15</f>
        <v>5.25</v>
      </c>
      <c r="E222" s="1">
        <f t="shared" si="9"/>
        <v>0.26250000000000001</v>
      </c>
      <c r="L222" s="1">
        <v>100</v>
      </c>
      <c r="M222" s="1">
        <v>0.01</v>
      </c>
      <c r="T222" s="1">
        <v>0.875</v>
      </c>
      <c r="AC222" t="s">
        <v>32</v>
      </c>
      <c r="AD222" s="1">
        <v>2012</v>
      </c>
      <c r="AE222" t="s">
        <v>33</v>
      </c>
      <c r="AF222" t="s">
        <v>189</v>
      </c>
    </row>
    <row r="223" spans="1:32" hidden="1" x14ac:dyDescent="0.25">
      <c r="A223" s="4" t="s">
        <v>81</v>
      </c>
      <c r="B223" s="1">
        <v>19</v>
      </c>
      <c r="C223" s="1">
        <v>20</v>
      </c>
      <c r="D223" s="1">
        <f>35*0.15*0.25</f>
        <v>1.3125</v>
      </c>
      <c r="E223" s="1">
        <f t="shared" si="9"/>
        <v>6.5625000000000003E-2</v>
      </c>
      <c r="L223" s="1">
        <v>19.329999999999998</v>
      </c>
      <c r="M223" s="1">
        <v>1.34</v>
      </c>
      <c r="AC223" t="s">
        <v>32</v>
      </c>
      <c r="AD223" s="1">
        <v>2012</v>
      </c>
      <c r="AE223" t="s">
        <v>33</v>
      </c>
      <c r="AF223" t="s">
        <v>189</v>
      </c>
    </row>
    <row r="224" spans="1:32" hidden="1" x14ac:dyDescent="0.25">
      <c r="A224" s="4" t="s">
        <v>81</v>
      </c>
      <c r="B224" s="1">
        <v>19</v>
      </c>
      <c r="C224" s="1">
        <v>20</v>
      </c>
      <c r="D224" s="1">
        <f>35*0.15*0.5</f>
        <v>2.625</v>
      </c>
      <c r="E224" s="1">
        <f t="shared" si="9"/>
        <v>0.13125000000000001</v>
      </c>
      <c r="L224" s="1">
        <v>19.12</v>
      </c>
      <c r="M224" s="1">
        <v>1.1000000000000001</v>
      </c>
      <c r="AC224" t="s">
        <v>32</v>
      </c>
      <c r="AD224" s="1">
        <v>2012</v>
      </c>
      <c r="AE224" t="s">
        <v>33</v>
      </c>
      <c r="AF224" t="s">
        <v>189</v>
      </c>
    </row>
    <row r="225" spans="1:32" hidden="1" x14ac:dyDescent="0.25">
      <c r="A225" s="4" t="s">
        <v>81</v>
      </c>
      <c r="B225" s="1">
        <v>19</v>
      </c>
      <c r="C225" s="1">
        <v>20</v>
      </c>
      <c r="D225" s="1">
        <f>35*0.15</f>
        <v>5.25</v>
      </c>
      <c r="E225" s="1">
        <f t="shared" si="9"/>
        <v>0.26250000000000001</v>
      </c>
      <c r="L225" s="1">
        <v>19.14</v>
      </c>
      <c r="M225" s="1">
        <v>1.35</v>
      </c>
      <c r="AC225" t="s">
        <v>32</v>
      </c>
      <c r="AD225" s="1">
        <v>2012</v>
      </c>
      <c r="AE225" t="s">
        <v>33</v>
      </c>
      <c r="AF225" t="s">
        <v>189</v>
      </c>
    </row>
    <row r="226" spans="1:32" hidden="1" x14ac:dyDescent="0.25">
      <c r="A226" s="4" t="s">
        <v>81</v>
      </c>
      <c r="B226" s="1">
        <v>24</v>
      </c>
      <c r="C226" s="1">
        <v>20</v>
      </c>
      <c r="D226" s="1">
        <f>35*0.15*0.25</f>
        <v>1.3125</v>
      </c>
      <c r="E226" s="1">
        <f t="shared" si="9"/>
        <v>6.5625000000000003E-2</v>
      </c>
      <c r="L226" s="1">
        <v>11.7</v>
      </c>
      <c r="M226" s="1">
        <v>1.1000000000000001</v>
      </c>
      <c r="AC226" t="s">
        <v>32</v>
      </c>
      <c r="AD226" s="1">
        <v>2012</v>
      </c>
      <c r="AE226" t="s">
        <v>33</v>
      </c>
      <c r="AF226" t="s">
        <v>189</v>
      </c>
    </row>
    <row r="227" spans="1:32" hidden="1" x14ac:dyDescent="0.25">
      <c r="A227" s="4" t="s">
        <v>81</v>
      </c>
      <c r="B227" s="1">
        <v>24</v>
      </c>
      <c r="C227" s="1">
        <v>20</v>
      </c>
      <c r="D227" s="1">
        <f>35*0.15*0.5</f>
        <v>2.625</v>
      </c>
      <c r="E227" s="1">
        <f t="shared" si="9"/>
        <v>0.13125000000000001</v>
      </c>
      <c r="L227" s="1">
        <v>12.4</v>
      </c>
      <c r="M227" s="1">
        <v>0.01</v>
      </c>
      <c r="AC227" t="s">
        <v>32</v>
      </c>
      <c r="AD227" s="1">
        <v>2012</v>
      </c>
      <c r="AE227" t="s">
        <v>33</v>
      </c>
      <c r="AF227" t="s">
        <v>189</v>
      </c>
    </row>
    <row r="228" spans="1:32" hidden="1" x14ac:dyDescent="0.25">
      <c r="A228" s="4" t="s">
        <v>81</v>
      </c>
      <c r="B228" s="1">
        <v>24</v>
      </c>
      <c r="C228" s="1">
        <v>20</v>
      </c>
      <c r="D228" s="1">
        <f>35*0.15</f>
        <v>5.25</v>
      </c>
      <c r="E228" s="1">
        <f t="shared" si="9"/>
        <v>0.26250000000000001</v>
      </c>
      <c r="L228" s="1">
        <v>11.73</v>
      </c>
      <c r="M228" s="1">
        <v>0.02</v>
      </c>
      <c r="AC228" t="s">
        <v>32</v>
      </c>
      <c r="AD228" s="1">
        <v>2012</v>
      </c>
      <c r="AE228" t="s">
        <v>33</v>
      </c>
      <c r="AF228" t="s">
        <v>189</v>
      </c>
    </row>
    <row r="229" spans="1:32" hidden="1" x14ac:dyDescent="0.25">
      <c r="A229" s="4" t="s">
        <v>81</v>
      </c>
      <c r="B229" s="1">
        <v>27</v>
      </c>
      <c r="C229" s="1">
        <v>20</v>
      </c>
      <c r="D229" s="1">
        <f>35*0.15*0.25</f>
        <v>1.3125</v>
      </c>
      <c r="E229" s="1">
        <f t="shared" si="9"/>
        <v>6.5625000000000003E-2</v>
      </c>
      <c r="L229" s="1">
        <v>9.57</v>
      </c>
      <c r="M229" s="1">
        <v>0.22</v>
      </c>
      <c r="AC229" t="s">
        <v>32</v>
      </c>
      <c r="AD229" s="1">
        <v>2012</v>
      </c>
      <c r="AE229" t="s">
        <v>33</v>
      </c>
      <c r="AF229" t="s">
        <v>189</v>
      </c>
    </row>
    <row r="230" spans="1:32" hidden="1" x14ac:dyDescent="0.25">
      <c r="A230" s="4" t="s">
        <v>81</v>
      </c>
      <c r="B230" s="1">
        <v>27</v>
      </c>
      <c r="C230" s="1">
        <v>20</v>
      </c>
      <c r="D230" s="1">
        <f>35*0.15*0.5</f>
        <v>2.625</v>
      </c>
      <c r="E230" s="1">
        <f t="shared" si="9"/>
        <v>0.13125000000000001</v>
      </c>
      <c r="L230" s="1">
        <v>10.25</v>
      </c>
      <c r="M230" s="1">
        <v>0.22</v>
      </c>
      <c r="AC230" t="s">
        <v>32</v>
      </c>
      <c r="AD230" s="1">
        <v>2012</v>
      </c>
      <c r="AE230" t="s">
        <v>33</v>
      </c>
      <c r="AF230" t="s">
        <v>189</v>
      </c>
    </row>
    <row r="231" spans="1:32" hidden="1" x14ac:dyDescent="0.25">
      <c r="A231" s="4" t="s">
        <v>81</v>
      </c>
      <c r="B231" s="1">
        <v>27</v>
      </c>
      <c r="C231" s="1">
        <v>20</v>
      </c>
      <c r="D231" s="1">
        <f>35*0.15</f>
        <v>5.25</v>
      </c>
      <c r="E231" s="1">
        <f t="shared" si="9"/>
        <v>0.26250000000000001</v>
      </c>
      <c r="L231" s="1">
        <v>9.83</v>
      </c>
      <c r="M231" s="1">
        <v>0.6</v>
      </c>
      <c r="AC231" t="s">
        <v>32</v>
      </c>
      <c r="AD231" s="1">
        <v>2012</v>
      </c>
      <c r="AE231" t="s">
        <v>33</v>
      </c>
      <c r="AF231" t="s">
        <v>189</v>
      </c>
    </row>
    <row r="232" spans="1:32" hidden="1" x14ac:dyDescent="0.25">
      <c r="A232" s="4" t="s">
        <v>80</v>
      </c>
      <c r="B232" s="1">
        <v>15</v>
      </c>
      <c r="C232" s="1">
        <v>50</v>
      </c>
      <c r="E232" s="1">
        <v>0.5</v>
      </c>
      <c r="H232" s="1">
        <v>31.67</v>
      </c>
      <c r="I232" s="1">
        <v>5.03</v>
      </c>
      <c r="N232" s="1">
        <v>0.66</v>
      </c>
      <c r="AC232" t="s">
        <v>32</v>
      </c>
      <c r="AD232" s="1">
        <v>2002</v>
      </c>
      <c r="AE232" t="s">
        <v>34</v>
      </c>
      <c r="AF232" t="s">
        <v>190</v>
      </c>
    </row>
    <row r="233" spans="1:32" hidden="1" x14ac:dyDescent="0.25">
      <c r="A233" s="4" t="s">
        <v>80</v>
      </c>
      <c r="B233" s="1">
        <v>20</v>
      </c>
      <c r="E233" s="1">
        <v>0.5</v>
      </c>
      <c r="H233" s="1">
        <v>14.48</v>
      </c>
      <c r="I233" s="1">
        <v>1.65</v>
      </c>
      <c r="N233" s="1">
        <v>0.82</v>
      </c>
      <c r="AC233" t="s">
        <v>32</v>
      </c>
      <c r="AD233" s="1">
        <v>2002</v>
      </c>
      <c r="AE233" t="s">
        <v>34</v>
      </c>
      <c r="AF233" t="s">
        <v>190</v>
      </c>
    </row>
    <row r="234" spans="1:32" hidden="1" x14ac:dyDescent="0.25">
      <c r="A234" s="4" t="s">
        <v>80</v>
      </c>
      <c r="B234" s="1">
        <v>25</v>
      </c>
      <c r="E234" s="1">
        <v>0.5</v>
      </c>
      <c r="H234" s="1">
        <v>7.67</v>
      </c>
      <c r="I234" s="1">
        <v>0.91</v>
      </c>
      <c r="N234" s="1">
        <v>0.73499999999999999</v>
      </c>
      <c r="AC234" t="s">
        <v>32</v>
      </c>
      <c r="AD234" s="1">
        <v>2002</v>
      </c>
      <c r="AE234" t="s">
        <v>34</v>
      </c>
      <c r="AF234" t="s">
        <v>190</v>
      </c>
    </row>
    <row r="235" spans="1:32" hidden="1" x14ac:dyDescent="0.25">
      <c r="A235" s="4" t="s">
        <v>80</v>
      </c>
      <c r="B235" s="1">
        <v>30</v>
      </c>
      <c r="E235" s="1">
        <v>0.5</v>
      </c>
      <c r="H235" s="1">
        <v>5.86</v>
      </c>
      <c r="I235" s="1">
        <v>1.41</v>
      </c>
      <c r="N235" s="1">
        <v>0.8</v>
      </c>
      <c r="AC235" t="s">
        <v>32</v>
      </c>
      <c r="AD235" s="1">
        <v>2002</v>
      </c>
      <c r="AE235" t="s">
        <v>34</v>
      </c>
      <c r="AF235" t="s">
        <v>190</v>
      </c>
    </row>
    <row r="236" spans="1:32" x14ac:dyDescent="0.25">
      <c r="A236" s="4" t="s">
        <v>79</v>
      </c>
      <c r="B236" s="1">
        <v>27</v>
      </c>
      <c r="E236" s="1">
        <v>0.72</v>
      </c>
      <c r="H236" s="1">
        <v>6.06</v>
      </c>
      <c r="I236" s="1">
        <v>0.08</v>
      </c>
      <c r="J236" s="1">
        <f>8.08-H236</f>
        <v>2.0200000000000005</v>
      </c>
      <c r="K236" s="1">
        <v>7.0000000000000007E-2</v>
      </c>
      <c r="N236" s="1">
        <v>0.83199999999999996</v>
      </c>
      <c r="O236" s="1">
        <v>1.7000000000000001E-2</v>
      </c>
      <c r="P236" s="1">
        <v>0.90300000000000002</v>
      </c>
      <c r="Q236" s="1">
        <v>1.0999999999999999E-2</v>
      </c>
      <c r="R236" s="1">
        <v>0.89300000000000002</v>
      </c>
      <c r="S236" s="1">
        <v>2E-3</v>
      </c>
      <c r="X236" s="1">
        <v>2.57</v>
      </c>
      <c r="Y236" s="1">
        <v>0.02</v>
      </c>
      <c r="Z236" s="1">
        <v>47.51</v>
      </c>
      <c r="AA236" s="1">
        <v>90</v>
      </c>
      <c r="AB236" s="1">
        <v>3.45</v>
      </c>
      <c r="AC236" t="s">
        <v>35</v>
      </c>
      <c r="AD236" s="1">
        <v>2014</v>
      </c>
      <c r="AE236" t="s">
        <v>33</v>
      </c>
      <c r="AF236" t="s">
        <v>191</v>
      </c>
    </row>
    <row r="237" spans="1:32" x14ac:dyDescent="0.25">
      <c r="A237" s="4" t="s">
        <v>79</v>
      </c>
      <c r="B237" s="1">
        <v>27</v>
      </c>
      <c r="E237" s="1">
        <v>0.72</v>
      </c>
      <c r="H237" s="1">
        <v>6.35</v>
      </c>
      <c r="I237" s="1">
        <v>0.06</v>
      </c>
      <c r="J237" s="1">
        <f>8.42-H237</f>
        <v>2.0700000000000003</v>
      </c>
      <c r="K237" s="1">
        <v>0.05</v>
      </c>
      <c r="N237" s="1">
        <v>0.85599999999999998</v>
      </c>
      <c r="O237" s="1">
        <v>3.3000000000000002E-2</v>
      </c>
      <c r="P237" s="1">
        <v>0.94499999999999995</v>
      </c>
      <c r="Q237" s="1">
        <v>1.7999999999999999E-2</v>
      </c>
      <c r="R237" s="1">
        <v>0.93700000000000006</v>
      </c>
      <c r="S237" s="1">
        <v>1.9E-2</v>
      </c>
      <c r="X237" s="1">
        <v>2.6</v>
      </c>
      <c r="Y237" s="1">
        <v>0.02</v>
      </c>
      <c r="Z237" s="1">
        <v>43.14</v>
      </c>
      <c r="AA237" s="1">
        <v>90</v>
      </c>
      <c r="AB237" s="1">
        <v>3.22</v>
      </c>
      <c r="AC237" t="s">
        <v>35</v>
      </c>
      <c r="AD237" s="1">
        <v>2014</v>
      </c>
      <c r="AE237" t="s">
        <v>33</v>
      </c>
      <c r="AF237" t="s">
        <v>191</v>
      </c>
    </row>
    <row r="238" spans="1:32" x14ac:dyDescent="0.25">
      <c r="A238" s="4" t="s">
        <v>79</v>
      </c>
      <c r="B238" s="1">
        <v>27</v>
      </c>
      <c r="E238" s="1">
        <v>0.72</v>
      </c>
      <c r="H238" s="1">
        <v>6.36</v>
      </c>
      <c r="I238" s="1">
        <v>0.08</v>
      </c>
      <c r="J238" s="1">
        <f>8.38-H238</f>
        <v>2.0200000000000005</v>
      </c>
      <c r="K238" s="1">
        <v>0.08</v>
      </c>
      <c r="N238" s="1">
        <v>0.82</v>
      </c>
      <c r="O238" s="1">
        <v>4.7E-2</v>
      </c>
      <c r="P238" s="1">
        <v>0.89400000000000002</v>
      </c>
      <c r="Q238" s="1">
        <v>5.0000000000000001E-3</v>
      </c>
      <c r="R238" s="1">
        <v>0.88500000000000001</v>
      </c>
      <c r="S238" s="1">
        <v>0.01</v>
      </c>
      <c r="X238" s="1">
        <v>2.54</v>
      </c>
      <c r="Y238" s="1">
        <v>0.04</v>
      </c>
      <c r="Z238" s="1">
        <v>40.299999999999997</v>
      </c>
      <c r="AA238" s="1">
        <v>90</v>
      </c>
      <c r="AB238" s="1">
        <v>3.06</v>
      </c>
      <c r="AC238" t="s">
        <v>35</v>
      </c>
      <c r="AD238" s="1">
        <v>2014</v>
      </c>
      <c r="AE238" t="s">
        <v>33</v>
      </c>
      <c r="AF238" t="s">
        <v>191</v>
      </c>
    </row>
    <row r="239" spans="1:32" hidden="1" x14ac:dyDescent="0.25">
      <c r="A239" s="4" t="s">
        <v>78</v>
      </c>
      <c r="B239" s="1">
        <v>25</v>
      </c>
      <c r="C239" s="1">
        <v>1</v>
      </c>
      <c r="E239" s="1">
        <v>1</v>
      </c>
      <c r="H239" s="1">
        <v>5.41</v>
      </c>
      <c r="I239" s="1">
        <v>0.26</v>
      </c>
      <c r="X239" s="1">
        <v>2.8142857142857145</v>
      </c>
      <c r="Y239" s="1">
        <v>7.3771111356331756E-2</v>
      </c>
      <c r="AA239" s="1"/>
      <c r="AC239" t="s">
        <v>32</v>
      </c>
      <c r="AD239">
        <v>2015</v>
      </c>
      <c r="AE239" t="s">
        <v>34</v>
      </c>
      <c r="AF239" t="s">
        <v>192</v>
      </c>
    </row>
    <row r="240" spans="1:32" hidden="1" x14ac:dyDescent="0.25">
      <c r="A240" s="4" t="s">
        <v>78</v>
      </c>
      <c r="B240" s="1">
        <v>25</v>
      </c>
      <c r="C240" s="1">
        <v>1</v>
      </c>
      <c r="E240" s="1">
        <v>2</v>
      </c>
      <c r="H240" s="1">
        <v>5.14</v>
      </c>
      <c r="I240" s="1">
        <v>0.18</v>
      </c>
      <c r="X240" s="1">
        <v>2.8600000000000003</v>
      </c>
      <c r="Y240" s="1">
        <v>8.1240384046359582E-2</v>
      </c>
      <c r="AA240" s="1"/>
      <c r="AC240" t="s">
        <v>32</v>
      </c>
      <c r="AD240">
        <v>2015</v>
      </c>
      <c r="AE240" t="s">
        <v>34</v>
      </c>
      <c r="AF240" t="s">
        <v>193</v>
      </c>
    </row>
    <row r="241" spans="1:32" hidden="1" x14ac:dyDescent="0.25">
      <c r="A241" s="4" t="s">
        <v>78</v>
      </c>
      <c r="B241" s="1">
        <v>25</v>
      </c>
      <c r="C241" s="1">
        <v>1</v>
      </c>
      <c r="E241" s="1">
        <v>4</v>
      </c>
      <c r="H241" s="1">
        <v>7.16</v>
      </c>
      <c r="I241" s="1">
        <v>0.3</v>
      </c>
      <c r="X241" s="1">
        <v>2.9249999999999998</v>
      </c>
      <c r="Y241" s="1">
        <v>4.787135538781695E-2</v>
      </c>
      <c r="AA241" s="1"/>
      <c r="AC241" t="s">
        <v>32</v>
      </c>
      <c r="AD241">
        <v>2015</v>
      </c>
      <c r="AE241" t="s">
        <v>34</v>
      </c>
      <c r="AF241" t="s">
        <v>194</v>
      </c>
    </row>
    <row r="242" spans="1:32" hidden="1" x14ac:dyDescent="0.25">
      <c r="A242" s="4" t="s">
        <v>78</v>
      </c>
      <c r="B242" s="1">
        <v>25</v>
      </c>
      <c r="C242" s="1">
        <v>1</v>
      </c>
      <c r="E242" s="1">
        <v>8</v>
      </c>
      <c r="H242" s="1">
        <v>7.21</v>
      </c>
      <c r="I242" s="1">
        <v>0.46</v>
      </c>
      <c r="X242" s="1">
        <v>2.95</v>
      </c>
      <c r="Y242" s="1">
        <v>5.0000000000000044E-2</v>
      </c>
      <c r="AA242" s="1"/>
      <c r="AC242" t="s">
        <v>32</v>
      </c>
      <c r="AD242">
        <v>2015</v>
      </c>
      <c r="AE242" t="s">
        <v>34</v>
      </c>
      <c r="AF242" t="s">
        <v>195</v>
      </c>
    </row>
    <row r="243" spans="1:32" hidden="1" x14ac:dyDescent="0.25">
      <c r="A243" s="4" t="s">
        <v>78</v>
      </c>
      <c r="B243" s="1">
        <v>25</v>
      </c>
      <c r="C243" s="1">
        <v>2</v>
      </c>
      <c r="E243" s="1">
        <v>0.5</v>
      </c>
      <c r="H243" s="1">
        <v>7.21</v>
      </c>
      <c r="I243" s="1">
        <v>0.74</v>
      </c>
      <c r="X243" s="1">
        <v>2.66</v>
      </c>
      <c r="Y243" s="1">
        <v>6.7823299831252654E-2</v>
      </c>
      <c r="AA243" s="1"/>
      <c r="AC243" t="s">
        <v>32</v>
      </c>
      <c r="AD243">
        <v>2015</v>
      </c>
      <c r="AE243" t="s">
        <v>34</v>
      </c>
      <c r="AF243" t="s">
        <v>196</v>
      </c>
    </row>
    <row r="244" spans="1:32" hidden="1" x14ac:dyDescent="0.25">
      <c r="A244" s="4" t="s">
        <v>78</v>
      </c>
      <c r="B244" s="1">
        <v>25</v>
      </c>
      <c r="C244" s="1">
        <v>2</v>
      </c>
      <c r="E244" s="1">
        <v>1</v>
      </c>
      <c r="H244" s="1">
        <v>6.48</v>
      </c>
      <c r="I244" s="1">
        <v>0.52</v>
      </c>
      <c r="X244" s="1">
        <v>2.7399999999999998</v>
      </c>
      <c r="Y244" s="1">
        <v>8.1240384046359582E-2</v>
      </c>
      <c r="AA244" s="1"/>
      <c r="AC244" t="s">
        <v>32</v>
      </c>
      <c r="AD244">
        <v>2015</v>
      </c>
      <c r="AE244" t="s">
        <v>34</v>
      </c>
      <c r="AF244" t="s">
        <v>197</v>
      </c>
    </row>
    <row r="245" spans="1:32" hidden="1" x14ac:dyDescent="0.25">
      <c r="A245" s="4" t="s">
        <v>78</v>
      </c>
      <c r="B245" s="1">
        <v>25</v>
      </c>
      <c r="C245" s="1">
        <v>2</v>
      </c>
      <c r="E245" s="1">
        <v>2</v>
      </c>
      <c r="H245" s="1">
        <v>6.1</v>
      </c>
      <c r="I245" s="1">
        <v>0.2</v>
      </c>
      <c r="X245" s="1">
        <v>2.9285714285714284</v>
      </c>
      <c r="Y245" s="1">
        <v>5.2164053095730155E-2</v>
      </c>
      <c r="AA245" s="1"/>
      <c r="AC245" t="s">
        <v>32</v>
      </c>
      <c r="AD245">
        <v>2015</v>
      </c>
      <c r="AE245" t="s">
        <v>34</v>
      </c>
      <c r="AF245" t="s">
        <v>198</v>
      </c>
    </row>
    <row r="246" spans="1:32" hidden="1" x14ac:dyDescent="0.25">
      <c r="A246" s="4" t="s">
        <v>78</v>
      </c>
      <c r="B246" s="1">
        <v>25</v>
      </c>
      <c r="C246" s="1">
        <v>2</v>
      </c>
      <c r="E246" s="1">
        <v>4</v>
      </c>
      <c r="H246" s="1">
        <v>6.02</v>
      </c>
      <c r="I246" s="1">
        <v>0.28999999999999998</v>
      </c>
      <c r="X246" s="1">
        <v>3.0500000000000003</v>
      </c>
      <c r="Y246" s="1">
        <v>7.1879528842826154E-2</v>
      </c>
      <c r="AA246" s="1"/>
      <c r="AC246" t="s">
        <v>32</v>
      </c>
      <c r="AD246">
        <v>2015</v>
      </c>
      <c r="AE246" t="s">
        <v>34</v>
      </c>
      <c r="AF246" t="s">
        <v>199</v>
      </c>
    </row>
    <row r="247" spans="1:32" hidden="1" x14ac:dyDescent="0.25">
      <c r="A247" s="4" t="s">
        <v>78</v>
      </c>
      <c r="B247" s="1">
        <v>25</v>
      </c>
      <c r="C247" s="1">
        <v>3</v>
      </c>
      <c r="E247" s="1">
        <v>0.33333333333333331</v>
      </c>
      <c r="H247" s="1">
        <v>8.36</v>
      </c>
      <c r="I247" s="1">
        <v>0.9</v>
      </c>
      <c r="X247" s="1">
        <v>2.8</v>
      </c>
      <c r="Y247" s="1">
        <v>4.0824829046386249E-2</v>
      </c>
      <c r="AA247" s="1"/>
      <c r="AC247" t="s">
        <v>32</v>
      </c>
      <c r="AD247">
        <v>2015</v>
      </c>
      <c r="AE247" t="s">
        <v>34</v>
      </c>
      <c r="AF247" t="s">
        <v>200</v>
      </c>
    </row>
    <row r="248" spans="1:32" hidden="1" x14ac:dyDescent="0.25">
      <c r="A248" s="4" t="s">
        <v>78</v>
      </c>
      <c r="B248" s="1">
        <v>25</v>
      </c>
      <c r="C248" s="1">
        <v>3</v>
      </c>
      <c r="E248" s="1">
        <v>0.66666666666666663</v>
      </c>
      <c r="H248" s="1">
        <v>6.96</v>
      </c>
      <c r="I248" s="1">
        <v>0.35</v>
      </c>
      <c r="X248" s="1">
        <v>2.9</v>
      </c>
      <c r="Y248" s="1">
        <v>4.8795003647426664E-2</v>
      </c>
      <c r="AA248" s="1"/>
      <c r="AC248" t="s">
        <v>32</v>
      </c>
      <c r="AD248">
        <v>2015</v>
      </c>
      <c r="AE248" t="s">
        <v>34</v>
      </c>
      <c r="AF248" t="s">
        <v>201</v>
      </c>
    </row>
    <row r="249" spans="1:32" hidden="1" x14ac:dyDescent="0.25">
      <c r="A249" s="4" t="s">
        <v>78</v>
      </c>
      <c r="B249" s="1">
        <v>25</v>
      </c>
      <c r="C249" s="1">
        <v>3</v>
      </c>
      <c r="E249" s="1">
        <v>1.3333333333333333</v>
      </c>
      <c r="H249" s="1">
        <v>6.38</v>
      </c>
      <c r="I249" s="1">
        <v>0.28000000000000003</v>
      </c>
      <c r="X249" s="1">
        <v>2.8428571428571425</v>
      </c>
      <c r="Y249" s="1">
        <v>5.2812078601949579E-2</v>
      </c>
      <c r="AA249" s="1"/>
      <c r="AC249" t="s">
        <v>32</v>
      </c>
      <c r="AD249">
        <v>2015</v>
      </c>
      <c r="AE249" t="s">
        <v>34</v>
      </c>
      <c r="AF249" t="s">
        <v>202</v>
      </c>
    </row>
    <row r="250" spans="1:32" hidden="1" x14ac:dyDescent="0.25">
      <c r="A250" s="4" t="s">
        <v>78</v>
      </c>
      <c r="B250" s="1">
        <v>25</v>
      </c>
      <c r="C250" s="1">
        <v>3</v>
      </c>
      <c r="E250" s="1">
        <v>2.6666666666666665</v>
      </c>
      <c r="H250" s="1">
        <v>5.9</v>
      </c>
      <c r="I250" s="1">
        <v>0.26</v>
      </c>
      <c r="X250" s="1">
        <v>3.04</v>
      </c>
      <c r="Y250" s="1">
        <v>2.4494897427831803E-2</v>
      </c>
      <c r="AA250" s="1"/>
      <c r="AC250" t="s">
        <v>32</v>
      </c>
      <c r="AD250">
        <v>2015</v>
      </c>
      <c r="AE250" t="s">
        <v>34</v>
      </c>
      <c r="AF250" t="s">
        <v>203</v>
      </c>
    </row>
    <row r="251" spans="1:32" hidden="1" x14ac:dyDescent="0.25">
      <c r="A251" s="4" t="s">
        <v>43</v>
      </c>
      <c r="B251" s="1">
        <v>25</v>
      </c>
      <c r="C251" s="1">
        <v>16</v>
      </c>
      <c r="D251" s="1">
        <v>8</v>
      </c>
      <c r="E251" s="1">
        <f>D251/(C251*H251)</f>
        <v>1.6949152542372881E-2</v>
      </c>
      <c r="H251" s="1">
        <v>29.5</v>
      </c>
      <c r="P251" s="1">
        <v>0.67700000000000005</v>
      </c>
      <c r="R251" s="1">
        <v>0.92300000000000004</v>
      </c>
      <c r="X251" s="1">
        <v>2.19</v>
      </c>
      <c r="Y251" s="1">
        <v>0.09</v>
      </c>
      <c r="AC251" t="s">
        <v>35</v>
      </c>
      <c r="AD251" s="1">
        <v>1979</v>
      </c>
      <c r="AE251" t="s">
        <v>44</v>
      </c>
      <c r="AF251" t="s">
        <v>204</v>
      </c>
    </row>
    <row r="252" spans="1:32" hidden="1" x14ac:dyDescent="0.25">
      <c r="A252" s="4" t="s">
        <v>43</v>
      </c>
      <c r="B252" s="1">
        <v>25</v>
      </c>
      <c r="C252" s="1">
        <v>16</v>
      </c>
      <c r="D252" s="1">
        <v>32</v>
      </c>
      <c r="E252" s="1">
        <f t="shared" ref="E252:E262" si="10">D252/(C252*H252)</f>
        <v>0.18348623853211007</v>
      </c>
      <c r="H252" s="1">
        <v>10.9</v>
      </c>
      <c r="P252" s="1">
        <v>0.90600000000000003</v>
      </c>
      <c r="Q252"/>
      <c r="R252" s="1">
        <v>0.97699999999999998</v>
      </c>
      <c r="S252"/>
      <c r="X252" s="1">
        <v>2.35</v>
      </c>
      <c r="Y252" s="1">
        <v>0.06</v>
      </c>
      <c r="Z252"/>
      <c r="AC252" t="s">
        <v>35</v>
      </c>
      <c r="AD252" s="1">
        <v>1979</v>
      </c>
      <c r="AE252" t="s">
        <v>44</v>
      </c>
      <c r="AF252" t="s">
        <v>204</v>
      </c>
    </row>
    <row r="253" spans="1:32" hidden="1" x14ac:dyDescent="0.25">
      <c r="A253" s="4" t="s">
        <v>43</v>
      </c>
      <c r="B253" s="1">
        <v>25</v>
      </c>
      <c r="C253" s="1">
        <v>16</v>
      </c>
      <c r="D253" s="1">
        <v>128</v>
      </c>
      <c r="E253" s="1">
        <f t="shared" si="10"/>
        <v>0.79207920792079212</v>
      </c>
      <c r="H253" s="1">
        <v>10.1</v>
      </c>
      <c r="P253" s="1">
        <v>0.875</v>
      </c>
      <c r="Q253"/>
      <c r="R253" s="1">
        <v>0.95199999999999996</v>
      </c>
      <c r="S253"/>
      <c r="X253" s="1">
        <v>2.9</v>
      </c>
      <c r="Y253" s="1">
        <v>0.04</v>
      </c>
      <c r="Z253"/>
      <c r="AC253" t="s">
        <v>35</v>
      </c>
      <c r="AD253" s="1">
        <v>1979</v>
      </c>
      <c r="AE253" t="s">
        <v>44</v>
      </c>
      <c r="AF253" t="s">
        <v>204</v>
      </c>
    </row>
    <row r="254" spans="1:32" hidden="1" x14ac:dyDescent="0.25">
      <c r="A254" s="4" t="s">
        <v>43</v>
      </c>
      <c r="B254" s="1">
        <v>25</v>
      </c>
      <c r="C254" s="1">
        <v>16</v>
      </c>
      <c r="D254" s="1">
        <v>512</v>
      </c>
      <c r="E254" s="1">
        <f t="shared" si="10"/>
        <v>3.2653061224489792</v>
      </c>
      <c r="H254" s="1">
        <v>9.8000000000000007</v>
      </c>
      <c r="P254" s="1">
        <v>0.90600000000000003</v>
      </c>
      <c r="R254" s="1">
        <v>0.98899999999999999</v>
      </c>
      <c r="S254"/>
      <c r="X254" s="1">
        <v>2.96</v>
      </c>
      <c r="Y254" s="1">
        <v>0.03</v>
      </c>
      <c r="Z254"/>
      <c r="AC254" t="s">
        <v>35</v>
      </c>
      <c r="AD254" s="1">
        <v>1979</v>
      </c>
      <c r="AE254" t="s">
        <v>44</v>
      </c>
      <c r="AF254" t="s">
        <v>204</v>
      </c>
    </row>
    <row r="255" spans="1:32" hidden="1" x14ac:dyDescent="0.25">
      <c r="A255" s="4" t="s">
        <v>43</v>
      </c>
      <c r="B255" s="1">
        <v>25</v>
      </c>
      <c r="C255" s="1">
        <v>64</v>
      </c>
      <c r="D255" s="1">
        <v>8</v>
      </c>
      <c r="E255" s="1">
        <f t="shared" si="10"/>
        <v>2.3148148148148147E-3</v>
      </c>
      <c r="H255" s="1">
        <v>54</v>
      </c>
      <c r="P255" s="1">
        <v>0.14600000000000002</v>
      </c>
      <c r="R255" s="1">
        <v>0.96399999999999997</v>
      </c>
      <c r="S255"/>
      <c r="X255" s="1">
        <v>2.08</v>
      </c>
      <c r="Y255" s="1">
        <v>0.1</v>
      </c>
      <c r="Z255"/>
      <c r="AC255" t="s">
        <v>35</v>
      </c>
      <c r="AD255" s="1">
        <v>1979</v>
      </c>
      <c r="AE255" t="s">
        <v>44</v>
      </c>
      <c r="AF255" t="s">
        <v>204</v>
      </c>
    </row>
    <row r="256" spans="1:32" hidden="1" x14ac:dyDescent="0.25">
      <c r="A256" s="4" t="s">
        <v>43</v>
      </c>
      <c r="B256" s="1">
        <v>25</v>
      </c>
      <c r="C256" s="1">
        <v>64</v>
      </c>
      <c r="D256" s="1">
        <v>32</v>
      </c>
      <c r="E256" s="1">
        <f t="shared" si="10"/>
        <v>1.9607843137254902E-2</v>
      </c>
      <c r="H256" s="1">
        <v>25.5</v>
      </c>
      <c r="P256" s="1">
        <v>0.21399999999999997</v>
      </c>
      <c r="R256" s="1">
        <v>0.90200000000000002</v>
      </c>
      <c r="S256"/>
      <c r="X256" s="1">
        <v>2.64</v>
      </c>
      <c r="Y256" s="1">
        <v>0.04</v>
      </c>
      <c r="Z256"/>
      <c r="AC256" t="s">
        <v>35</v>
      </c>
      <c r="AD256" s="1">
        <v>1979</v>
      </c>
      <c r="AE256" t="s">
        <v>44</v>
      </c>
      <c r="AF256" t="s">
        <v>204</v>
      </c>
    </row>
    <row r="257" spans="1:32" hidden="1" x14ac:dyDescent="0.25">
      <c r="A257" s="4" t="s">
        <v>43</v>
      </c>
      <c r="B257" s="1">
        <v>25</v>
      </c>
      <c r="C257" s="1">
        <v>64</v>
      </c>
      <c r="D257" s="1">
        <v>128</v>
      </c>
      <c r="E257" s="1">
        <f t="shared" si="10"/>
        <v>0.13986013986013984</v>
      </c>
      <c r="H257" s="1">
        <v>14.3</v>
      </c>
      <c r="P257" s="1">
        <v>0.97899999999999998</v>
      </c>
      <c r="R257" s="1">
        <v>0.98899999999999999</v>
      </c>
      <c r="S257"/>
      <c r="X257" s="1">
        <v>2.42</v>
      </c>
      <c r="Y257" s="1">
        <v>0.05</v>
      </c>
      <c r="Z257"/>
      <c r="AC257" t="s">
        <v>35</v>
      </c>
      <c r="AD257" s="1">
        <v>1979</v>
      </c>
      <c r="AE257" t="s">
        <v>44</v>
      </c>
      <c r="AF257" t="s">
        <v>204</v>
      </c>
    </row>
    <row r="258" spans="1:32" hidden="1" x14ac:dyDescent="0.25">
      <c r="A258" s="4" t="s">
        <v>43</v>
      </c>
      <c r="B258" s="1">
        <v>25</v>
      </c>
      <c r="C258" s="1">
        <v>64</v>
      </c>
      <c r="D258" s="1">
        <v>512</v>
      </c>
      <c r="E258" s="1">
        <f t="shared" si="10"/>
        <v>0.68965517241379315</v>
      </c>
      <c r="H258" s="1">
        <v>11.6</v>
      </c>
      <c r="P258" s="1">
        <v>1</v>
      </c>
      <c r="Q258"/>
      <c r="R258" s="1">
        <v>1</v>
      </c>
      <c r="S258"/>
      <c r="X258" s="1">
        <v>2.82</v>
      </c>
      <c r="Y258" s="1">
        <v>0.03</v>
      </c>
      <c r="Z258"/>
      <c r="AC258" t="s">
        <v>35</v>
      </c>
      <c r="AD258" s="1">
        <v>1979</v>
      </c>
      <c r="AE258" t="s">
        <v>44</v>
      </c>
      <c r="AF258" t="s">
        <v>204</v>
      </c>
    </row>
    <row r="259" spans="1:32" hidden="1" x14ac:dyDescent="0.25">
      <c r="A259" s="4" t="s">
        <v>43</v>
      </c>
      <c r="B259" s="1">
        <v>25</v>
      </c>
      <c r="C259" s="1">
        <v>256</v>
      </c>
      <c r="D259" s="1">
        <v>8</v>
      </c>
      <c r="E259" s="1">
        <f t="shared" si="10"/>
        <v>3.7878787878787879E-4</v>
      </c>
      <c r="H259" s="1">
        <v>82.5</v>
      </c>
      <c r="P259" s="1">
        <v>4.0000000000000036E-3</v>
      </c>
      <c r="Q259"/>
      <c r="R259" s="1">
        <v>1</v>
      </c>
      <c r="S259"/>
      <c r="X259" s="1">
        <v>2.09</v>
      </c>
      <c r="Y259" s="1">
        <v>0.1</v>
      </c>
      <c r="Z259"/>
      <c r="AC259" t="s">
        <v>35</v>
      </c>
      <c r="AD259" s="1">
        <v>1979</v>
      </c>
      <c r="AE259" t="s">
        <v>44</v>
      </c>
      <c r="AF259" t="s">
        <v>204</v>
      </c>
    </row>
    <row r="260" spans="1:32" hidden="1" x14ac:dyDescent="0.25">
      <c r="A260" s="4" t="s">
        <v>43</v>
      </c>
      <c r="B260" s="1">
        <v>25</v>
      </c>
      <c r="C260" s="1">
        <v>256</v>
      </c>
      <c r="D260" s="1">
        <v>32</v>
      </c>
      <c r="E260" s="1">
        <f>D260/(C260*H260)</f>
        <v>2.1551724137931034E-3</v>
      </c>
      <c r="H260" s="1">
        <v>58</v>
      </c>
      <c r="P260" s="1">
        <v>5.2000000000000046E-2</v>
      </c>
      <c r="R260" s="1">
        <v>0.92500000000000004</v>
      </c>
      <c r="S260"/>
      <c r="X260" s="1">
        <v>2.3199999999999998</v>
      </c>
      <c r="Y260" s="1">
        <v>0.09</v>
      </c>
      <c r="Z260"/>
      <c r="AC260" t="s">
        <v>35</v>
      </c>
      <c r="AD260" s="1">
        <v>1979</v>
      </c>
      <c r="AE260" t="s">
        <v>44</v>
      </c>
      <c r="AF260" t="s">
        <v>204</v>
      </c>
    </row>
    <row r="261" spans="1:32" hidden="1" x14ac:dyDescent="0.25">
      <c r="A261" s="4" t="s">
        <v>43</v>
      </c>
      <c r="B261" s="1">
        <v>25</v>
      </c>
      <c r="C261" s="1">
        <v>256</v>
      </c>
      <c r="D261" s="1">
        <v>128</v>
      </c>
      <c r="E261" s="1">
        <f>D261/(C261*H261)</f>
        <v>1.0570824524312896E-2</v>
      </c>
      <c r="H261" s="1">
        <v>47.3</v>
      </c>
      <c r="P261" s="1">
        <v>8.1999999999999962E-2</v>
      </c>
      <c r="R261" s="1">
        <v>0.96799999999999997</v>
      </c>
      <c r="S261"/>
      <c r="X261" s="1">
        <v>2.33</v>
      </c>
      <c r="Y261" s="1">
        <v>0.25</v>
      </c>
      <c r="Z261"/>
      <c r="AC261" t="s">
        <v>35</v>
      </c>
      <c r="AD261" s="1">
        <v>1979</v>
      </c>
      <c r="AE261" t="s">
        <v>44</v>
      </c>
      <c r="AF261" t="s">
        <v>204</v>
      </c>
    </row>
    <row r="262" spans="1:32" hidden="1" x14ac:dyDescent="0.25">
      <c r="A262" s="4" t="s">
        <v>43</v>
      </c>
      <c r="B262" s="1">
        <v>25</v>
      </c>
      <c r="C262" s="1">
        <v>256</v>
      </c>
      <c r="D262" s="1">
        <v>512</v>
      </c>
      <c r="E262" s="1">
        <f t="shared" si="10"/>
        <v>0.16393442622950821</v>
      </c>
      <c r="H262" s="1">
        <v>12.2</v>
      </c>
      <c r="P262" s="1">
        <v>0.91900000000000004</v>
      </c>
      <c r="R262" s="1">
        <v>0.99399999999999999</v>
      </c>
      <c r="S262"/>
      <c r="X262" s="1">
        <v>2.4300000000000002</v>
      </c>
      <c r="Y262" s="1">
        <v>0.04</v>
      </c>
      <c r="Z262"/>
      <c r="AC262" t="s">
        <v>35</v>
      </c>
      <c r="AD262" s="1">
        <v>1979</v>
      </c>
      <c r="AE262" t="s">
        <v>44</v>
      </c>
      <c r="AF262" t="s">
        <v>204</v>
      </c>
    </row>
    <row r="263" spans="1:32" hidden="1" x14ac:dyDescent="0.25">
      <c r="A263" s="4" t="s">
        <v>43</v>
      </c>
      <c r="B263" s="1">
        <v>25</v>
      </c>
      <c r="C263" s="1">
        <v>4</v>
      </c>
      <c r="D263" s="1">
        <v>8</v>
      </c>
      <c r="E263" s="1">
        <f>D263/C263</f>
        <v>2</v>
      </c>
      <c r="S263"/>
      <c r="X263" s="1">
        <v>2.9</v>
      </c>
      <c r="Y263" s="1">
        <v>0.03</v>
      </c>
      <c r="Z263"/>
      <c r="AC263" t="s">
        <v>35</v>
      </c>
      <c r="AD263" s="1">
        <v>1979</v>
      </c>
      <c r="AE263" t="s">
        <v>33</v>
      </c>
      <c r="AF263" t="s">
        <v>204</v>
      </c>
    </row>
    <row r="264" spans="1:32" hidden="1" x14ac:dyDescent="0.25">
      <c r="A264" s="4" t="s">
        <v>43</v>
      </c>
      <c r="B264" s="1">
        <v>25</v>
      </c>
      <c r="C264" s="1">
        <v>4</v>
      </c>
      <c r="D264" s="1">
        <v>32</v>
      </c>
      <c r="E264" s="1">
        <f t="shared" ref="E264:E276" si="11">D264/C264</f>
        <v>8</v>
      </c>
      <c r="X264" s="1">
        <v>2.91</v>
      </c>
      <c r="Y264" s="1">
        <v>0.04</v>
      </c>
      <c r="Z264"/>
      <c r="AC264" t="s">
        <v>35</v>
      </c>
      <c r="AD264" s="1">
        <v>1979</v>
      </c>
      <c r="AE264" t="s">
        <v>33</v>
      </c>
      <c r="AF264" t="s">
        <v>204</v>
      </c>
    </row>
    <row r="265" spans="1:32" hidden="1" x14ac:dyDescent="0.25">
      <c r="A265" s="4" t="s">
        <v>43</v>
      </c>
      <c r="B265" s="1">
        <v>25</v>
      </c>
      <c r="C265" s="1">
        <v>16</v>
      </c>
      <c r="D265" s="1">
        <v>8</v>
      </c>
      <c r="E265" s="1">
        <f t="shared" si="11"/>
        <v>0.5</v>
      </c>
      <c r="X265" s="1">
        <v>2.73</v>
      </c>
      <c r="Y265" s="1">
        <v>0.03</v>
      </c>
      <c r="Z265"/>
      <c r="AC265" t="s">
        <v>35</v>
      </c>
      <c r="AD265" s="1">
        <v>1979</v>
      </c>
      <c r="AE265" t="s">
        <v>33</v>
      </c>
      <c r="AF265" t="s">
        <v>204</v>
      </c>
    </row>
    <row r="266" spans="1:32" hidden="1" x14ac:dyDescent="0.25">
      <c r="A266" s="4" t="s">
        <v>43</v>
      </c>
      <c r="B266" s="1">
        <v>25</v>
      </c>
      <c r="C266" s="1">
        <v>16</v>
      </c>
      <c r="D266" s="1">
        <v>32</v>
      </c>
      <c r="E266" s="1">
        <f t="shared" si="11"/>
        <v>2</v>
      </c>
      <c r="X266" s="1">
        <v>2.97</v>
      </c>
      <c r="Y266" s="1">
        <v>0.04</v>
      </c>
      <c r="Z266"/>
      <c r="AC266" t="s">
        <v>35</v>
      </c>
      <c r="AD266" s="1">
        <v>1979</v>
      </c>
      <c r="AE266" t="s">
        <v>33</v>
      </c>
      <c r="AF266" t="s">
        <v>204</v>
      </c>
    </row>
    <row r="267" spans="1:32" hidden="1" x14ac:dyDescent="0.25">
      <c r="A267" s="4" t="s">
        <v>43</v>
      </c>
      <c r="B267" s="1">
        <v>25</v>
      </c>
      <c r="C267" s="1">
        <v>16</v>
      </c>
      <c r="D267" s="1">
        <v>128</v>
      </c>
      <c r="E267" s="1">
        <f t="shared" si="11"/>
        <v>8</v>
      </c>
      <c r="X267" s="1">
        <v>2.93</v>
      </c>
      <c r="Y267" s="1">
        <v>0.03</v>
      </c>
      <c r="AC267" t="s">
        <v>35</v>
      </c>
      <c r="AD267" s="1">
        <v>1979</v>
      </c>
      <c r="AE267" t="s">
        <v>33</v>
      </c>
      <c r="AF267" t="s">
        <v>204</v>
      </c>
    </row>
    <row r="268" spans="1:32" hidden="1" x14ac:dyDescent="0.25">
      <c r="A268" s="4" t="s">
        <v>43</v>
      </c>
      <c r="B268" s="1">
        <v>25</v>
      </c>
      <c r="C268" s="1">
        <v>16</v>
      </c>
      <c r="D268" s="1">
        <v>512</v>
      </c>
      <c r="E268" s="1">
        <f t="shared" si="11"/>
        <v>32</v>
      </c>
      <c r="X268" s="1">
        <v>2.86</v>
      </c>
      <c r="Y268" s="1">
        <v>0.03</v>
      </c>
      <c r="AC268" t="s">
        <v>35</v>
      </c>
      <c r="AD268" s="1">
        <v>1979</v>
      </c>
      <c r="AE268" t="s">
        <v>33</v>
      </c>
      <c r="AF268" t="s">
        <v>204</v>
      </c>
    </row>
    <row r="269" spans="1:32" hidden="1" x14ac:dyDescent="0.25">
      <c r="A269" s="4" t="s">
        <v>43</v>
      </c>
      <c r="B269" s="1">
        <v>25</v>
      </c>
      <c r="C269" s="1">
        <v>64</v>
      </c>
      <c r="D269" s="1">
        <v>8</v>
      </c>
      <c r="E269" s="1">
        <f t="shared" si="11"/>
        <v>0.125</v>
      </c>
      <c r="X269" s="1">
        <v>2.39</v>
      </c>
      <c r="Y269" s="1">
        <v>0.04</v>
      </c>
      <c r="AC269" t="s">
        <v>35</v>
      </c>
      <c r="AD269" s="1">
        <v>1979</v>
      </c>
      <c r="AE269" t="s">
        <v>33</v>
      </c>
      <c r="AF269" t="s">
        <v>204</v>
      </c>
    </row>
    <row r="270" spans="1:32" hidden="1" x14ac:dyDescent="0.25">
      <c r="A270" s="4" t="s">
        <v>43</v>
      </c>
      <c r="B270" s="1">
        <v>25</v>
      </c>
      <c r="C270" s="1">
        <v>64</v>
      </c>
      <c r="D270" s="1">
        <v>32</v>
      </c>
      <c r="E270" s="1">
        <f t="shared" si="11"/>
        <v>0.5</v>
      </c>
      <c r="X270" s="1">
        <v>2.9</v>
      </c>
      <c r="Y270" s="1">
        <v>0.03</v>
      </c>
      <c r="AC270" t="s">
        <v>35</v>
      </c>
      <c r="AD270" s="1">
        <v>1979</v>
      </c>
      <c r="AE270" t="s">
        <v>33</v>
      </c>
      <c r="AF270" t="s">
        <v>204</v>
      </c>
    </row>
    <row r="271" spans="1:32" hidden="1" x14ac:dyDescent="0.25">
      <c r="A271" s="4" t="s">
        <v>43</v>
      </c>
      <c r="B271" s="1">
        <v>25</v>
      </c>
      <c r="C271" s="1">
        <v>64</v>
      </c>
      <c r="D271" s="1">
        <v>128</v>
      </c>
      <c r="E271" s="1">
        <f t="shared" si="11"/>
        <v>2</v>
      </c>
      <c r="X271" s="1">
        <v>2.9</v>
      </c>
      <c r="Y271" s="1">
        <v>0.03</v>
      </c>
      <c r="AC271" t="s">
        <v>35</v>
      </c>
      <c r="AD271" s="1">
        <v>1979</v>
      </c>
      <c r="AE271" t="s">
        <v>33</v>
      </c>
      <c r="AF271" t="s">
        <v>204</v>
      </c>
    </row>
    <row r="272" spans="1:32" hidden="1" x14ac:dyDescent="0.25">
      <c r="A272" s="4" t="s">
        <v>43</v>
      </c>
      <c r="B272" s="1">
        <v>25</v>
      </c>
      <c r="C272" s="1">
        <v>64</v>
      </c>
      <c r="D272" s="1">
        <v>512</v>
      </c>
      <c r="E272" s="1">
        <f t="shared" si="11"/>
        <v>8</v>
      </c>
      <c r="X272" s="1">
        <v>2.85</v>
      </c>
      <c r="Y272" s="1">
        <v>0.03</v>
      </c>
      <c r="AC272" t="s">
        <v>35</v>
      </c>
      <c r="AD272" s="1">
        <v>1979</v>
      </c>
      <c r="AE272" t="s">
        <v>33</v>
      </c>
      <c r="AF272" t="s">
        <v>204</v>
      </c>
    </row>
    <row r="273" spans="1:32" hidden="1" x14ac:dyDescent="0.25">
      <c r="A273" s="4" t="s">
        <v>43</v>
      </c>
      <c r="B273" s="1">
        <v>25</v>
      </c>
      <c r="C273" s="1">
        <v>256</v>
      </c>
      <c r="D273" s="1">
        <v>8</v>
      </c>
      <c r="E273" s="1">
        <f t="shared" si="11"/>
        <v>3.125E-2</v>
      </c>
      <c r="X273" s="1">
        <v>2</v>
      </c>
      <c r="Y273" s="1">
        <v>0.03</v>
      </c>
      <c r="AC273" t="s">
        <v>35</v>
      </c>
      <c r="AD273" s="1">
        <v>1979</v>
      </c>
      <c r="AE273" t="s">
        <v>33</v>
      </c>
      <c r="AF273" t="s">
        <v>204</v>
      </c>
    </row>
    <row r="274" spans="1:32" hidden="1" x14ac:dyDescent="0.25">
      <c r="A274" s="4" t="s">
        <v>43</v>
      </c>
      <c r="B274" s="1">
        <v>25</v>
      </c>
      <c r="C274" s="1">
        <v>256</v>
      </c>
      <c r="D274" s="1">
        <v>32</v>
      </c>
      <c r="E274" s="1">
        <f t="shared" si="11"/>
        <v>0.125</v>
      </c>
      <c r="X274" s="1">
        <v>2.48</v>
      </c>
      <c r="Y274" s="1">
        <v>0.03</v>
      </c>
      <c r="AC274" t="s">
        <v>35</v>
      </c>
      <c r="AD274" s="1">
        <v>1979</v>
      </c>
      <c r="AE274" t="s">
        <v>33</v>
      </c>
      <c r="AF274" t="s">
        <v>204</v>
      </c>
    </row>
    <row r="275" spans="1:32" hidden="1" x14ac:dyDescent="0.25">
      <c r="A275" s="4" t="s">
        <v>43</v>
      </c>
      <c r="B275" s="1">
        <v>25</v>
      </c>
      <c r="C275" s="1">
        <v>256</v>
      </c>
      <c r="D275" s="1">
        <v>128</v>
      </c>
      <c r="E275" s="1">
        <f t="shared" si="11"/>
        <v>0.5</v>
      </c>
      <c r="X275" s="1">
        <v>2.82</v>
      </c>
      <c r="Y275" s="1">
        <v>0.02</v>
      </c>
      <c r="AC275" t="s">
        <v>35</v>
      </c>
      <c r="AD275" s="1">
        <v>1979</v>
      </c>
      <c r="AE275" t="s">
        <v>33</v>
      </c>
      <c r="AF275" t="s">
        <v>204</v>
      </c>
    </row>
    <row r="276" spans="1:32" hidden="1" x14ac:dyDescent="0.25">
      <c r="A276" s="4" t="s">
        <v>43</v>
      </c>
      <c r="B276" s="1">
        <v>25</v>
      </c>
      <c r="C276" s="1">
        <v>256</v>
      </c>
      <c r="D276" s="1">
        <v>512</v>
      </c>
      <c r="E276" s="1">
        <f t="shared" si="11"/>
        <v>2</v>
      </c>
      <c r="X276" s="1">
        <v>2.89</v>
      </c>
      <c r="Y276" s="1">
        <v>0.03</v>
      </c>
      <c r="AC276" t="s">
        <v>35</v>
      </c>
      <c r="AD276" s="1">
        <v>1979</v>
      </c>
      <c r="AE276" t="s">
        <v>33</v>
      </c>
      <c r="AF276" t="s">
        <v>204</v>
      </c>
    </row>
    <row r="277" spans="1:32" hidden="1" x14ac:dyDescent="0.25">
      <c r="A277" s="4" t="s">
        <v>45</v>
      </c>
      <c r="B277" s="1">
        <v>18</v>
      </c>
      <c r="C277" s="1">
        <v>1</v>
      </c>
      <c r="D277" s="1">
        <v>10.5</v>
      </c>
      <c r="L277" s="1">
        <v>24.5</v>
      </c>
      <c r="X277" s="1">
        <v>3.4</v>
      </c>
      <c r="Y277" s="1">
        <v>0.11</v>
      </c>
      <c r="AC277" t="s">
        <v>32</v>
      </c>
      <c r="AD277" s="1">
        <v>2007</v>
      </c>
      <c r="AE277" t="s">
        <v>33</v>
      </c>
      <c r="AF277" t="s">
        <v>205</v>
      </c>
    </row>
    <row r="278" spans="1:32" hidden="1" x14ac:dyDescent="0.25">
      <c r="A278" s="4" t="s">
        <v>45</v>
      </c>
      <c r="B278" s="1">
        <v>24</v>
      </c>
      <c r="C278" s="1">
        <v>1</v>
      </c>
      <c r="D278" s="1">
        <v>10.5</v>
      </c>
      <c r="L278" s="1">
        <v>11</v>
      </c>
      <c r="X278" s="1">
        <v>3.14</v>
      </c>
      <c r="Y278" s="1">
        <v>0.12</v>
      </c>
      <c r="AC278" t="s">
        <v>32</v>
      </c>
      <c r="AD278" s="1">
        <v>2007</v>
      </c>
      <c r="AE278" t="s">
        <v>33</v>
      </c>
      <c r="AF278" t="s">
        <v>206</v>
      </c>
    </row>
    <row r="279" spans="1:32" hidden="1" x14ac:dyDescent="0.25">
      <c r="A279" s="4" t="s">
        <v>45</v>
      </c>
      <c r="B279" s="1">
        <v>32</v>
      </c>
      <c r="C279" s="1">
        <v>1</v>
      </c>
      <c r="D279" s="1">
        <v>10.5</v>
      </c>
      <c r="L279" s="1">
        <v>9</v>
      </c>
      <c r="X279" s="1">
        <v>2.91</v>
      </c>
      <c r="Y279" s="1">
        <v>0.1</v>
      </c>
      <c r="AC279" t="s">
        <v>32</v>
      </c>
      <c r="AD279" s="1">
        <v>2007</v>
      </c>
      <c r="AE279" t="s">
        <v>33</v>
      </c>
      <c r="AF279" t="s">
        <v>207</v>
      </c>
    </row>
    <row r="280" spans="1:32" hidden="1" x14ac:dyDescent="0.25">
      <c r="A280" s="4" t="s">
        <v>77</v>
      </c>
      <c r="B280" s="1">
        <v>25</v>
      </c>
      <c r="C280" s="1">
        <v>15</v>
      </c>
      <c r="D280" s="1">
        <f>2+1.4*0.25+2.1*0.25+3.9*0.25</f>
        <v>3.85</v>
      </c>
      <c r="E280" s="1">
        <f>D280/C280</f>
        <v>0.25666666666666665</v>
      </c>
      <c r="H280" s="1">
        <v>6.8</v>
      </c>
      <c r="I280" s="1">
        <v>2.48</v>
      </c>
      <c r="N280" s="1">
        <v>0.50700000000000001</v>
      </c>
      <c r="O280" s="1">
        <v>0.1487</v>
      </c>
      <c r="AC280" t="s">
        <v>32</v>
      </c>
      <c r="AD280" s="1">
        <v>2004</v>
      </c>
      <c r="AE280" t="s">
        <v>36</v>
      </c>
      <c r="AF280" t="s">
        <v>208</v>
      </c>
    </row>
    <row r="281" spans="1:32" hidden="1" x14ac:dyDescent="0.25">
      <c r="A281" s="4" t="s">
        <v>77</v>
      </c>
      <c r="B281" s="1">
        <v>30</v>
      </c>
      <c r="C281" s="1">
        <v>15</v>
      </c>
      <c r="D281" s="1">
        <f>1.7+0.9*0.25+2.2*0.25+4.1*0.25</f>
        <v>3.5</v>
      </c>
      <c r="E281" s="1">
        <f t="shared" ref="E281:E282" si="12">D281/C281</f>
        <v>0.23333333333333334</v>
      </c>
      <c r="H281" s="1">
        <v>7.2</v>
      </c>
      <c r="I281" s="1">
        <v>2.85</v>
      </c>
      <c r="N281" s="1">
        <v>0.41899999999999998</v>
      </c>
      <c r="O281" s="1">
        <v>0.1268</v>
      </c>
      <c r="AC281" t="s">
        <v>32</v>
      </c>
      <c r="AD281" s="1">
        <v>2004</v>
      </c>
      <c r="AE281" t="s">
        <v>36</v>
      </c>
      <c r="AF281" t="s">
        <v>208</v>
      </c>
    </row>
    <row r="282" spans="1:32" hidden="1" x14ac:dyDescent="0.25">
      <c r="A282" s="4" t="s">
        <v>77</v>
      </c>
      <c r="B282" s="1">
        <v>35</v>
      </c>
      <c r="C282" s="1">
        <v>15</v>
      </c>
      <c r="D282" s="1">
        <f>2.3+2.7*0.25+4.5*0.25+2.5*0.25</f>
        <v>4.7249999999999996</v>
      </c>
      <c r="E282" s="1">
        <f t="shared" si="12"/>
        <v>0.315</v>
      </c>
      <c r="N282" s="1">
        <v>0.28300000000000003</v>
      </c>
      <c r="O282" s="1">
        <v>7.8399999999999997E-2</v>
      </c>
      <c r="R282" s="1">
        <v>0</v>
      </c>
      <c r="S282" s="1">
        <v>0.01</v>
      </c>
      <c r="AC282" t="s">
        <v>32</v>
      </c>
      <c r="AD282" s="1">
        <v>2004</v>
      </c>
      <c r="AE282" t="s">
        <v>36</v>
      </c>
      <c r="AF282" t="s">
        <v>208</v>
      </c>
    </row>
    <row r="283" spans="1:32" hidden="1" x14ac:dyDescent="0.25">
      <c r="A283" s="4" t="s">
        <v>76</v>
      </c>
      <c r="B283" s="1">
        <v>20</v>
      </c>
      <c r="C283" s="1">
        <v>50</v>
      </c>
      <c r="D283" s="1">
        <v>5</v>
      </c>
      <c r="E283" s="1">
        <f>D283/(C283*H283)</f>
        <v>9.2936802973977699E-3</v>
      </c>
      <c r="H283" s="1">
        <v>10.76</v>
      </c>
      <c r="I283" s="1">
        <v>1.04</v>
      </c>
      <c r="J283" s="1">
        <v>3.43</v>
      </c>
      <c r="K283" s="1">
        <v>0.51</v>
      </c>
      <c r="AC283" t="s">
        <v>35</v>
      </c>
      <c r="AD283" s="1">
        <v>2001</v>
      </c>
      <c r="AE283" t="s">
        <v>33</v>
      </c>
      <c r="AF283" t="s">
        <v>209</v>
      </c>
    </row>
    <row r="284" spans="1:32" hidden="1" x14ac:dyDescent="0.25">
      <c r="A284" s="4" t="s">
        <v>76</v>
      </c>
      <c r="B284" s="1">
        <v>20</v>
      </c>
      <c r="C284" s="1">
        <v>50</v>
      </c>
      <c r="D284" s="1">
        <v>5</v>
      </c>
      <c r="E284" s="1">
        <f t="shared" ref="E284:E291" si="13">D284/(C284*H284)</f>
        <v>8.5106382978723406E-3</v>
      </c>
      <c r="H284" s="1">
        <v>11.75</v>
      </c>
      <c r="I284" s="1">
        <v>0.89</v>
      </c>
      <c r="J284" s="1">
        <v>3.37</v>
      </c>
      <c r="K284" s="1">
        <v>0.52</v>
      </c>
      <c r="AC284" t="s">
        <v>35</v>
      </c>
      <c r="AD284" s="1">
        <v>2001</v>
      </c>
      <c r="AE284" t="s">
        <v>33</v>
      </c>
      <c r="AF284" t="s">
        <v>209</v>
      </c>
    </row>
    <row r="285" spans="1:32" hidden="1" x14ac:dyDescent="0.25">
      <c r="A285" s="4" t="s">
        <v>76</v>
      </c>
      <c r="B285" s="1">
        <v>20</v>
      </c>
      <c r="C285" s="1">
        <v>50</v>
      </c>
      <c r="D285" s="1">
        <v>5</v>
      </c>
      <c r="E285" s="1">
        <f t="shared" si="13"/>
        <v>1.0141987829614604E-2</v>
      </c>
      <c r="H285" s="1">
        <v>9.86</v>
      </c>
      <c r="I285" s="1">
        <v>0.69</v>
      </c>
      <c r="J285" s="1">
        <v>3.86</v>
      </c>
      <c r="K285" s="1">
        <v>0.38</v>
      </c>
      <c r="AC285" t="s">
        <v>35</v>
      </c>
      <c r="AD285" s="1">
        <v>2001</v>
      </c>
      <c r="AE285" t="s">
        <v>33</v>
      </c>
      <c r="AF285" t="s">
        <v>209</v>
      </c>
    </row>
    <row r="286" spans="1:32" hidden="1" x14ac:dyDescent="0.25">
      <c r="A286" s="4" t="s">
        <v>76</v>
      </c>
      <c r="B286" s="1">
        <v>25</v>
      </c>
      <c r="C286" s="1">
        <v>50</v>
      </c>
      <c r="D286" s="1">
        <v>5</v>
      </c>
      <c r="E286" s="1">
        <f t="shared" si="13"/>
        <v>1.2658227848101266E-2</v>
      </c>
      <c r="H286" s="1">
        <v>7.9</v>
      </c>
      <c r="I286" s="1">
        <v>0.99</v>
      </c>
      <c r="J286" s="1">
        <v>2.62</v>
      </c>
      <c r="K286" s="1">
        <v>0.5</v>
      </c>
      <c r="AC286" t="s">
        <v>35</v>
      </c>
      <c r="AD286" s="1">
        <v>2001</v>
      </c>
      <c r="AE286" t="s">
        <v>33</v>
      </c>
      <c r="AF286" t="s">
        <v>209</v>
      </c>
    </row>
    <row r="287" spans="1:32" hidden="1" x14ac:dyDescent="0.25">
      <c r="A287" s="4" t="s">
        <v>76</v>
      </c>
      <c r="B287" s="1">
        <v>25</v>
      </c>
      <c r="C287" s="1">
        <v>50</v>
      </c>
      <c r="D287" s="1">
        <v>5</v>
      </c>
      <c r="E287" s="1">
        <f t="shared" si="13"/>
        <v>1.1273957158962797E-2</v>
      </c>
      <c r="H287" s="1">
        <v>8.8699999999999992</v>
      </c>
      <c r="I287" s="1">
        <v>1.46</v>
      </c>
      <c r="J287" s="1">
        <v>2.86</v>
      </c>
      <c r="K287" s="1">
        <v>0.52</v>
      </c>
      <c r="AC287" t="s">
        <v>35</v>
      </c>
      <c r="AD287" s="1">
        <v>2001</v>
      </c>
      <c r="AE287" t="s">
        <v>33</v>
      </c>
      <c r="AF287" t="s">
        <v>209</v>
      </c>
    </row>
    <row r="288" spans="1:32" hidden="1" x14ac:dyDescent="0.25">
      <c r="A288" s="4" t="s">
        <v>76</v>
      </c>
      <c r="B288" s="1">
        <v>25</v>
      </c>
      <c r="C288" s="1">
        <v>50</v>
      </c>
      <c r="D288" s="1">
        <v>5</v>
      </c>
      <c r="E288" s="1">
        <f t="shared" si="13"/>
        <v>1.2195121951219514E-2</v>
      </c>
      <c r="H288" s="1">
        <v>8.1999999999999993</v>
      </c>
      <c r="I288" s="1">
        <v>0.63</v>
      </c>
      <c r="J288" s="1">
        <v>2.5</v>
      </c>
      <c r="K288" s="1">
        <v>0.53</v>
      </c>
      <c r="AC288" t="s">
        <v>35</v>
      </c>
      <c r="AD288" s="1">
        <v>2001</v>
      </c>
      <c r="AE288" t="s">
        <v>33</v>
      </c>
      <c r="AF288" t="s">
        <v>209</v>
      </c>
    </row>
    <row r="289" spans="1:32" hidden="1" x14ac:dyDescent="0.25">
      <c r="A289" s="4" t="s">
        <v>76</v>
      </c>
      <c r="B289" s="1">
        <v>30</v>
      </c>
      <c r="C289" s="1">
        <v>50</v>
      </c>
      <c r="D289" s="1">
        <v>5</v>
      </c>
      <c r="E289" s="1">
        <f t="shared" si="13"/>
        <v>1.6025641025641024E-2</v>
      </c>
      <c r="H289" s="1">
        <v>6.24</v>
      </c>
      <c r="I289" s="1">
        <v>0.44</v>
      </c>
      <c r="J289" s="1">
        <v>1.43</v>
      </c>
      <c r="K289" s="1">
        <v>0.51</v>
      </c>
      <c r="AC289" t="s">
        <v>35</v>
      </c>
      <c r="AD289" s="1">
        <v>2001</v>
      </c>
      <c r="AE289" t="s">
        <v>33</v>
      </c>
      <c r="AF289" t="s">
        <v>209</v>
      </c>
    </row>
    <row r="290" spans="1:32" hidden="1" x14ac:dyDescent="0.25">
      <c r="A290" s="4" t="s">
        <v>76</v>
      </c>
      <c r="B290" s="1">
        <v>30</v>
      </c>
      <c r="C290" s="1">
        <v>50</v>
      </c>
      <c r="D290" s="1">
        <v>5</v>
      </c>
      <c r="E290" s="1">
        <f t="shared" si="13"/>
        <v>1.5600624024960999E-2</v>
      </c>
      <c r="H290" s="1">
        <v>6.41</v>
      </c>
      <c r="I290" s="1">
        <v>1.01</v>
      </c>
      <c r="J290" s="1">
        <v>1.82</v>
      </c>
      <c r="K290" s="1">
        <v>0.59</v>
      </c>
      <c r="AC290" t="s">
        <v>35</v>
      </c>
      <c r="AD290" s="1">
        <v>2001</v>
      </c>
      <c r="AE290" t="s">
        <v>33</v>
      </c>
      <c r="AF290" t="s">
        <v>209</v>
      </c>
    </row>
    <row r="291" spans="1:32" hidden="1" x14ac:dyDescent="0.25">
      <c r="A291" s="4" t="s">
        <v>76</v>
      </c>
      <c r="B291" s="1">
        <v>30</v>
      </c>
      <c r="C291" s="1">
        <v>50</v>
      </c>
      <c r="D291" s="1">
        <v>5</v>
      </c>
      <c r="E291" s="1">
        <f t="shared" si="13"/>
        <v>1.5723270440251572E-2</v>
      </c>
      <c r="H291" s="1">
        <v>6.36</v>
      </c>
      <c r="I291" s="1">
        <v>0.92</v>
      </c>
      <c r="J291" s="1">
        <v>2</v>
      </c>
      <c r="K291" s="1">
        <v>0.01</v>
      </c>
      <c r="AC291" t="s">
        <v>35</v>
      </c>
      <c r="AD291" s="1">
        <v>2001</v>
      </c>
      <c r="AE291" t="s">
        <v>33</v>
      </c>
      <c r="AF291" t="s">
        <v>209</v>
      </c>
    </row>
    <row r="292" spans="1:32" hidden="1" x14ac:dyDescent="0.25">
      <c r="A292" s="4" t="s">
        <v>52</v>
      </c>
      <c r="B292" s="1">
        <v>25</v>
      </c>
      <c r="C292" s="1">
        <v>200</v>
      </c>
      <c r="E292" s="1">
        <v>0.1</v>
      </c>
      <c r="X292" s="1">
        <v>2.91</v>
      </c>
      <c r="Y292" s="1">
        <v>0.15</v>
      </c>
      <c r="AA292" s="1"/>
      <c r="AC292" t="s">
        <v>35</v>
      </c>
      <c r="AD292" s="1">
        <v>2019</v>
      </c>
      <c r="AE292" t="s">
        <v>34</v>
      </c>
      <c r="AF292" t="s">
        <v>213</v>
      </c>
    </row>
    <row r="293" spans="1:32" hidden="1" x14ac:dyDescent="0.25">
      <c r="A293" s="4" t="s">
        <v>52</v>
      </c>
      <c r="B293" s="1">
        <v>25</v>
      </c>
      <c r="C293" s="1">
        <v>200</v>
      </c>
      <c r="E293" s="1">
        <v>0.8</v>
      </c>
      <c r="X293" s="1">
        <v>2.5</v>
      </c>
      <c r="Y293" s="1">
        <v>7.0000000000000007E-2</v>
      </c>
      <c r="AA293" s="1"/>
      <c r="AC293" t="s">
        <v>35</v>
      </c>
      <c r="AD293" s="1">
        <v>2019</v>
      </c>
      <c r="AE293" t="s">
        <v>34</v>
      </c>
      <c r="AF293" t="s">
        <v>213</v>
      </c>
    </row>
    <row r="294" spans="1:32" hidden="1" x14ac:dyDescent="0.25">
      <c r="A294" s="4" t="s">
        <v>52</v>
      </c>
      <c r="B294" s="1">
        <v>28</v>
      </c>
      <c r="C294" s="1">
        <v>200</v>
      </c>
      <c r="E294" s="1">
        <v>0.1</v>
      </c>
      <c r="X294" s="1">
        <v>2.86</v>
      </c>
      <c r="Y294" s="1">
        <v>0.1</v>
      </c>
      <c r="AA294" s="1"/>
      <c r="AC294" t="s">
        <v>35</v>
      </c>
      <c r="AD294" s="1">
        <v>2019</v>
      </c>
      <c r="AE294" t="s">
        <v>34</v>
      </c>
      <c r="AF294" t="s">
        <v>213</v>
      </c>
    </row>
    <row r="295" spans="1:32" hidden="1" x14ac:dyDescent="0.25">
      <c r="A295" s="4" t="s">
        <v>52</v>
      </c>
      <c r="B295" s="1">
        <v>28</v>
      </c>
      <c r="C295" s="1">
        <v>200</v>
      </c>
      <c r="E295" s="1">
        <v>0.8</v>
      </c>
      <c r="X295" s="1">
        <v>2.31</v>
      </c>
      <c r="Y295" s="1">
        <v>0.1</v>
      </c>
      <c r="AA295" s="1"/>
      <c r="AC295" t="s">
        <v>35</v>
      </c>
      <c r="AD295" s="1">
        <v>2019</v>
      </c>
      <c r="AE295" t="s">
        <v>34</v>
      </c>
      <c r="AF295" t="s">
        <v>213</v>
      </c>
    </row>
    <row r="296" spans="1:32" hidden="1" x14ac:dyDescent="0.25">
      <c r="A296" s="4" t="s">
        <v>211</v>
      </c>
      <c r="B296" s="1">
        <v>20</v>
      </c>
      <c r="C296" s="1">
        <v>500</v>
      </c>
      <c r="D296" s="1">
        <v>50</v>
      </c>
      <c r="E296" s="1">
        <v>0.1</v>
      </c>
      <c r="H296" s="1">
        <v>12</v>
      </c>
      <c r="I296" s="1">
        <v>1.1000000000000001</v>
      </c>
      <c r="X296" s="1">
        <v>2.87</v>
      </c>
      <c r="Y296" s="1">
        <v>0.1</v>
      </c>
      <c r="AC296" t="s">
        <v>40</v>
      </c>
      <c r="AD296" s="1">
        <v>2016</v>
      </c>
      <c r="AE296" t="s">
        <v>34</v>
      </c>
      <c r="AF296" t="s">
        <v>212</v>
      </c>
    </row>
    <row r="297" spans="1:32" hidden="1" x14ac:dyDescent="0.25">
      <c r="A297" s="4" t="s">
        <v>50</v>
      </c>
      <c r="B297" s="1">
        <v>26</v>
      </c>
      <c r="E297" s="1">
        <v>0.1</v>
      </c>
      <c r="X297" s="1">
        <v>2.81</v>
      </c>
      <c r="Y297" s="1">
        <v>0.14000000000000001</v>
      </c>
      <c r="AC297" t="s">
        <v>35</v>
      </c>
      <c r="AD297" s="1">
        <v>2021</v>
      </c>
      <c r="AE297" t="s">
        <v>34</v>
      </c>
      <c r="AF297" t="s">
        <v>210</v>
      </c>
    </row>
    <row r="298" spans="1:32" hidden="1" x14ac:dyDescent="0.25">
      <c r="A298" s="4" t="s">
        <v>50</v>
      </c>
      <c r="B298" s="1">
        <v>26</v>
      </c>
      <c r="E298" s="1">
        <v>0.1</v>
      </c>
      <c r="X298" s="1">
        <v>2.4300000000000002</v>
      </c>
      <c r="Y298" s="1">
        <v>0.06</v>
      </c>
      <c r="AC298" t="s">
        <v>35</v>
      </c>
      <c r="AD298" s="1">
        <v>2021</v>
      </c>
      <c r="AE298" t="s">
        <v>34</v>
      </c>
      <c r="AF298" t="s">
        <v>210</v>
      </c>
    </row>
    <row r="299" spans="1:32" hidden="1" x14ac:dyDescent="0.25">
      <c r="A299" s="4" t="s">
        <v>50</v>
      </c>
      <c r="B299" s="1">
        <v>28</v>
      </c>
      <c r="E299" s="1">
        <v>0.8</v>
      </c>
      <c r="X299" s="1">
        <v>2.78</v>
      </c>
      <c r="Y299" s="1">
        <v>0.09</v>
      </c>
      <c r="AC299" t="s">
        <v>35</v>
      </c>
      <c r="AD299" s="1">
        <v>2021</v>
      </c>
      <c r="AE299" t="s">
        <v>34</v>
      </c>
      <c r="AF299" t="s">
        <v>210</v>
      </c>
    </row>
    <row r="300" spans="1:32" hidden="1" x14ac:dyDescent="0.25">
      <c r="A300" s="4" t="s">
        <v>50</v>
      </c>
      <c r="B300" s="1">
        <v>28</v>
      </c>
      <c r="E300" s="1">
        <v>0.8</v>
      </c>
      <c r="X300" s="1">
        <v>2.3199999999999998</v>
      </c>
      <c r="Y300" s="1">
        <v>0.1</v>
      </c>
      <c r="AC300" t="s">
        <v>35</v>
      </c>
      <c r="AD300" s="1">
        <v>2021</v>
      </c>
      <c r="AE300" t="s">
        <v>34</v>
      </c>
      <c r="AF300" t="s">
        <v>210</v>
      </c>
    </row>
    <row r="301" spans="1:32" hidden="1" x14ac:dyDescent="0.25">
      <c r="A301" s="4" t="s">
        <v>51</v>
      </c>
      <c r="B301" s="1">
        <v>25</v>
      </c>
      <c r="E301" s="1">
        <v>0.1</v>
      </c>
      <c r="H301" s="1">
        <v>11.5</v>
      </c>
      <c r="I301" s="1">
        <v>0.1</v>
      </c>
      <c r="P301" s="1">
        <v>0.93</v>
      </c>
      <c r="Q301" s="1">
        <v>0.03</v>
      </c>
      <c r="X301" s="1">
        <v>2.4</v>
      </c>
      <c r="Y301" s="1">
        <v>0.01</v>
      </c>
      <c r="AC301" t="s">
        <v>40</v>
      </c>
      <c r="AD301" s="1">
        <v>2011</v>
      </c>
      <c r="AE301" t="s">
        <v>34</v>
      </c>
      <c r="AF301" t="s">
        <v>214</v>
      </c>
    </row>
    <row r="302" spans="1:32" hidden="1" x14ac:dyDescent="0.25">
      <c r="A302" s="4" t="s">
        <v>51</v>
      </c>
      <c r="B302" s="1">
        <v>25</v>
      </c>
      <c r="E302" s="1">
        <v>0.3</v>
      </c>
      <c r="H302" s="1">
        <v>8.1999999999999993</v>
      </c>
      <c r="I302" s="1">
        <v>0.01</v>
      </c>
      <c r="P302" s="1">
        <v>0.96</v>
      </c>
      <c r="Q302" s="1">
        <v>0.01</v>
      </c>
      <c r="X302" s="1">
        <v>2.75</v>
      </c>
      <c r="Y302" s="1">
        <v>0.01</v>
      </c>
      <c r="AC302" t="s">
        <v>40</v>
      </c>
      <c r="AD302" s="1">
        <v>2011</v>
      </c>
      <c r="AE302" t="s">
        <v>34</v>
      </c>
      <c r="AF302" t="s">
        <v>215</v>
      </c>
    </row>
    <row r="303" spans="1:32" hidden="1" x14ac:dyDescent="0.25">
      <c r="A303" s="4" t="s">
        <v>52</v>
      </c>
      <c r="B303" s="1">
        <v>22</v>
      </c>
      <c r="C303" s="1">
        <v>50</v>
      </c>
      <c r="D303" s="1">
        <v>200</v>
      </c>
      <c r="E303" s="1">
        <f>D303/(C303*H303)</f>
        <v>0.14035087719298245</v>
      </c>
      <c r="H303" s="1">
        <v>28.5</v>
      </c>
      <c r="I303" s="1">
        <v>2.35</v>
      </c>
      <c r="X303" s="1">
        <v>3.1</v>
      </c>
      <c r="Y303" s="1">
        <v>0.08</v>
      </c>
      <c r="AC303" t="s">
        <v>35</v>
      </c>
      <c r="AD303" s="1">
        <v>2019</v>
      </c>
      <c r="AE303" t="s">
        <v>53</v>
      </c>
      <c r="AF303" t="s">
        <v>213</v>
      </c>
    </row>
    <row r="304" spans="1:32" hidden="1" x14ac:dyDescent="0.25">
      <c r="A304" s="4" t="s">
        <v>52</v>
      </c>
      <c r="B304" s="1">
        <v>28</v>
      </c>
      <c r="C304" s="1">
        <v>50</v>
      </c>
      <c r="D304" s="1">
        <v>200</v>
      </c>
      <c r="E304" s="1">
        <f>D304/(C304*H304)</f>
        <v>0.22222222222222221</v>
      </c>
      <c r="H304" s="1">
        <v>18</v>
      </c>
      <c r="I304" s="1">
        <v>1.85</v>
      </c>
      <c r="X304" s="1">
        <v>2.5</v>
      </c>
      <c r="Y304" s="1">
        <v>7.0000000000000007E-2</v>
      </c>
      <c r="AC304" t="s">
        <v>35</v>
      </c>
      <c r="AD304" s="1">
        <v>2019</v>
      </c>
      <c r="AE304" t="s">
        <v>53</v>
      </c>
      <c r="AF304" t="s">
        <v>213</v>
      </c>
    </row>
    <row r="305" spans="1:32" x14ac:dyDescent="0.25">
      <c r="A305" s="4" t="s">
        <v>216</v>
      </c>
      <c r="B305" s="1">
        <v>27</v>
      </c>
      <c r="X305" s="1">
        <v>3.25</v>
      </c>
      <c r="Y305" s="1">
        <v>0.25</v>
      </c>
      <c r="Z305" s="1">
        <v>42</v>
      </c>
      <c r="AA305" s="1">
        <v>40</v>
      </c>
      <c r="AC305" t="s">
        <v>35</v>
      </c>
      <c r="AD305" s="1">
        <v>2019</v>
      </c>
      <c r="AE305" t="s">
        <v>34</v>
      </c>
      <c r="AF305" t="s">
        <v>217</v>
      </c>
    </row>
    <row r="306" spans="1:32" hidden="1" x14ac:dyDescent="0.25">
      <c r="A306" s="4" t="s">
        <v>54</v>
      </c>
      <c r="B306" s="1">
        <v>22</v>
      </c>
      <c r="E306" s="1">
        <v>1</v>
      </c>
      <c r="X306" s="1">
        <v>3.16</v>
      </c>
      <c r="Y306" s="1">
        <v>0.08</v>
      </c>
      <c r="AC306" t="s">
        <v>35</v>
      </c>
      <c r="AD306" s="1">
        <v>2018</v>
      </c>
      <c r="AE306" t="s">
        <v>34</v>
      </c>
      <c r="AF306" t="s">
        <v>218</v>
      </c>
    </row>
    <row r="307" spans="1:32" hidden="1" x14ac:dyDescent="0.25">
      <c r="A307" s="4" t="s">
        <v>54</v>
      </c>
      <c r="B307" s="1">
        <v>28</v>
      </c>
      <c r="E307" s="1">
        <v>1</v>
      </c>
      <c r="X307" s="1">
        <v>2.87</v>
      </c>
      <c r="Y307" s="1">
        <v>0.18</v>
      </c>
      <c r="AC307" t="s">
        <v>35</v>
      </c>
      <c r="AD307" s="1">
        <v>2018</v>
      </c>
      <c r="AE307" t="s">
        <v>34</v>
      </c>
      <c r="AF307" t="s">
        <v>218</v>
      </c>
    </row>
    <row r="308" spans="1:32" hidden="1" x14ac:dyDescent="0.25">
      <c r="A308" s="4" t="s">
        <v>54</v>
      </c>
      <c r="B308" s="1">
        <v>22</v>
      </c>
      <c r="E308" s="1">
        <v>1</v>
      </c>
      <c r="X308" s="1">
        <v>3.14</v>
      </c>
      <c r="Y308" s="1">
        <v>0.09</v>
      </c>
      <c r="AC308" t="s">
        <v>35</v>
      </c>
      <c r="AD308" s="1">
        <v>2018</v>
      </c>
      <c r="AE308" t="s">
        <v>34</v>
      </c>
      <c r="AF308" t="s">
        <v>218</v>
      </c>
    </row>
    <row r="309" spans="1:32" hidden="1" x14ac:dyDescent="0.25">
      <c r="A309" s="4" t="s">
        <v>54</v>
      </c>
      <c r="B309" s="1">
        <v>28</v>
      </c>
      <c r="E309" s="1">
        <v>1</v>
      </c>
      <c r="X309" s="1">
        <v>2.89</v>
      </c>
      <c r="Y309" s="1">
        <v>0.15</v>
      </c>
      <c r="AC309" t="s">
        <v>35</v>
      </c>
      <c r="AD309" s="1">
        <v>2018</v>
      </c>
      <c r="AE309" t="s">
        <v>34</v>
      </c>
      <c r="AF309" t="s">
        <v>218</v>
      </c>
    </row>
    <row r="310" spans="1:32" hidden="1" x14ac:dyDescent="0.25">
      <c r="A310" s="4" t="s">
        <v>54</v>
      </c>
      <c r="B310" s="1">
        <v>22</v>
      </c>
      <c r="E310" s="1">
        <v>1</v>
      </c>
      <c r="X310" s="1">
        <v>3.17</v>
      </c>
      <c r="Y310" s="1">
        <v>0.1</v>
      </c>
      <c r="AC310" t="s">
        <v>35</v>
      </c>
      <c r="AD310" s="1">
        <v>2018</v>
      </c>
      <c r="AE310" t="s">
        <v>34</v>
      </c>
      <c r="AF310" t="s">
        <v>218</v>
      </c>
    </row>
    <row r="311" spans="1:32" hidden="1" x14ac:dyDescent="0.25">
      <c r="A311" s="4" t="s">
        <v>54</v>
      </c>
      <c r="B311" s="1">
        <v>28</v>
      </c>
      <c r="E311" s="1">
        <v>1</v>
      </c>
      <c r="X311" s="1">
        <v>2.89</v>
      </c>
      <c r="Y311" s="1">
        <v>0.15</v>
      </c>
      <c r="AC311" t="s">
        <v>35</v>
      </c>
      <c r="AD311" s="1">
        <v>2018</v>
      </c>
      <c r="AE311" t="s">
        <v>34</v>
      </c>
      <c r="AF311" t="s">
        <v>218</v>
      </c>
    </row>
    <row r="312" spans="1:32" hidden="1" x14ac:dyDescent="0.25">
      <c r="A312" s="4" t="s">
        <v>55</v>
      </c>
      <c r="B312" s="1">
        <v>25</v>
      </c>
      <c r="C312" s="1">
        <v>100</v>
      </c>
      <c r="D312" s="1">
        <v>200</v>
      </c>
      <c r="E312" s="1">
        <f>D312/(C312*H312)</f>
        <v>9.5238095238095233E-2</v>
      </c>
      <c r="H312" s="1">
        <v>21</v>
      </c>
      <c r="X312" s="1">
        <v>3.01</v>
      </c>
      <c r="Y312" s="1">
        <v>0.12</v>
      </c>
      <c r="AC312" t="s">
        <v>56</v>
      </c>
      <c r="AD312" s="1">
        <v>2013</v>
      </c>
      <c r="AE312" t="s">
        <v>34</v>
      </c>
      <c r="AF312" t="s">
        <v>219</v>
      </c>
    </row>
    <row r="313" spans="1:32" hidden="1" x14ac:dyDescent="0.25">
      <c r="A313" s="4" t="s">
        <v>55</v>
      </c>
      <c r="B313" s="1">
        <v>25</v>
      </c>
      <c r="C313" s="1">
        <v>20</v>
      </c>
      <c r="D313" s="1">
        <v>200</v>
      </c>
      <c r="E313" s="1">
        <f t="shared" ref="E313:E315" si="14">D313/(C313*H313)</f>
        <v>0.47619047619047616</v>
      </c>
      <c r="H313" s="1">
        <v>21</v>
      </c>
      <c r="X313" s="1">
        <v>3.3</v>
      </c>
      <c r="Y313" s="1">
        <v>0.1</v>
      </c>
      <c r="AC313" t="s">
        <v>56</v>
      </c>
      <c r="AD313" s="1">
        <v>2013</v>
      </c>
      <c r="AE313" t="s">
        <v>34</v>
      </c>
      <c r="AF313" t="s">
        <v>219</v>
      </c>
    </row>
    <row r="314" spans="1:32" hidden="1" x14ac:dyDescent="0.25">
      <c r="A314" s="4" t="s">
        <v>55</v>
      </c>
      <c r="B314" s="1">
        <v>25</v>
      </c>
      <c r="C314" s="1">
        <v>100</v>
      </c>
      <c r="D314" s="1">
        <v>200</v>
      </c>
      <c r="E314" s="1">
        <f t="shared" si="14"/>
        <v>9.5238095238095233E-2</v>
      </c>
      <c r="H314" s="1">
        <v>21</v>
      </c>
      <c r="X314" s="1">
        <v>2.8</v>
      </c>
      <c r="Y314" s="1">
        <v>0.1</v>
      </c>
      <c r="AC314" t="s">
        <v>56</v>
      </c>
      <c r="AD314" s="1">
        <v>2013</v>
      </c>
      <c r="AE314" t="s">
        <v>34</v>
      </c>
      <c r="AF314" t="s">
        <v>219</v>
      </c>
    </row>
    <row r="315" spans="1:32" hidden="1" x14ac:dyDescent="0.25">
      <c r="A315" s="4" t="s">
        <v>55</v>
      </c>
      <c r="B315" s="1">
        <v>25</v>
      </c>
      <c r="C315" s="1">
        <v>20</v>
      </c>
      <c r="D315" s="1">
        <v>200</v>
      </c>
      <c r="E315" s="1">
        <f t="shared" si="14"/>
        <v>0.47619047619047616</v>
      </c>
      <c r="H315" s="1">
        <v>21</v>
      </c>
      <c r="X315" s="1">
        <v>3.22</v>
      </c>
      <c r="Y315" s="1">
        <v>0.03</v>
      </c>
      <c r="AC315" t="s">
        <v>56</v>
      </c>
      <c r="AD315" s="1">
        <v>2013</v>
      </c>
      <c r="AE315" t="s">
        <v>34</v>
      </c>
      <c r="AF315" t="s">
        <v>219</v>
      </c>
    </row>
    <row r="316" spans="1:32" hidden="1" x14ac:dyDescent="0.25">
      <c r="A316" s="4" t="s">
        <v>57</v>
      </c>
      <c r="B316" s="1">
        <v>26.5</v>
      </c>
      <c r="J316" s="1">
        <v>2</v>
      </c>
      <c r="K316" s="1">
        <v>0.1</v>
      </c>
      <c r="AC316" t="s">
        <v>40</v>
      </c>
      <c r="AD316" s="1">
        <v>2011</v>
      </c>
      <c r="AE316" t="s">
        <v>34</v>
      </c>
      <c r="AF316" t="s">
        <v>220</v>
      </c>
    </row>
    <row r="317" spans="1:32" x14ac:dyDescent="0.25">
      <c r="A317" s="4" t="s">
        <v>58</v>
      </c>
      <c r="B317" s="1">
        <v>27</v>
      </c>
      <c r="E317" s="1">
        <v>1</v>
      </c>
      <c r="H317" s="1">
        <v>6.6</v>
      </c>
      <c r="I317" s="1">
        <v>0.1</v>
      </c>
      <c r="P317" s="1">
        <v>0.94</v>
      </c>
      <c r="Q317" s="1">
        <v>0.02</v>
      </c>
      <c r="X317" s="1">
        <v>2.6</v>
      </c>
      <c r="Y317" s="1">
        <v>0.1</v>
      </c>
      <c r="Z317" s="1">
        <v>48</v>
      </c>
      <c r="AA317" s="1">
        <v>90</v>
      </c>
      <c r="AC317" t="s">
        <v>35</v>
      </c>
      <c r="AD317" s="1">
        <v>2021</v>
      </c>
      <c r="AE317" t="s">
        <v>36</v>
      </c>
      <c r="AF317" t="s">
        <v>158</v>
      </c>
    </row>
    <row r="318" spans="1:32" hidden="1" x14ac:dyDescent="0.25">
      <c r="A318" s="4" t="s">
        <v>59</v>
      </c>
      <c r="B318" s="1">
        <v>24</v>
      </c>
      <c r="C318" s="1">
        <v>10</v>
      </c>
      <c r="D318" s="1">
        <v>100</v>
      </c>
      <c r="E318" s="1">
        <f>D318/(H318*C318)</f>
        <v>0.89269749979624335</v>
      </c>
      <c r="H318">
        <v>11.202002920678598</v>
      </c>
      <c r="I318" s="1">
        <v>0.1</v>
      </c>
      <c r="X318">
        <v>2.6097889687406601</v>
      </c>
      <c r="Y318" s="1">
        <v>0.1</v>
      </c>
      <c r="AC318" t="s">
        <v>32</v>
      </c>
      <c r="AD318" s="1">
        <v>2011</v>
      </c>
      <c r="AE318" t="s">
        <v>42</v>
      </c>
      <c r="AF318" t="s">
        <v>221</v>
      </c>
    </row>
    <row r="319" spans="1:32" hidden="1" x14ac:dyDescent="0.25">
      <c r="A319" s="4" t="s">
        <v>59</v>
      </c>
      <c r="B319" s="1">
        <v>24</v>
      </c>
      <c r="C319" s="1">
        <v>30</v>
      </c>
      <c r="D319" s="1">
        <v>100</v>
      </c>
      <c r="E319" s="1">
        <f t="shared" ref="E319:E327" si="15">D319/(H319*C319)</f>
        <v>0.19292184110383934</v>
      </c>
      <c r="H319">
        <v>17.278154273570202</v>
      </c>
      <c r="I319" s="1">
        <v>1</v>
      </c>
      <c r="X319">
        <v>2.2573860940767099</v>
      </c>
      <c r="Y319" s="1">
        <v>0.1</v>
      </c>
      <c r="AC319" t="s">
        <v>32</v>
      </c>
      <c r="AD319" s="1">
        <v>2011</v>
      </c>
      <c r="AE319" t="s">
        <v>42</v>
      </c>
      <c r="AF319" t="s">
        <v>221</v>
      </c>
    </row>
    <row r="320" spans="1:32" hidden="1" x14ac:dyDescent="0.25">
      <c r="A320" s="4" t="s">
        <v>59</v>
      </c>
      <c r="B320" s="1">
        <v>24</v>
      </c>
      <c r="C320" s="1">
        <v>50</v>
      </c>
      <c r="D320" s="1">
        <v>100</v>
      </c>
      <c r="E320" s="1">
        <f t="shared" si="15"/>
        <v>7.8070403140056671E-2</v>
      </c>
      <c r="H320">
        <v>25.617902810262702</v>
      </c>
      <c r="I320" s="1">
        <v>6</v>
      </c>
      <c r="X320">
        <v>2.0378116708544902</v>
      </c>
      <c r="Y320" s="1">
        <v>0.1</v>
      </c>
      <c r="AC320" t="s">
        <v>32</v>
      </c>
      <c r="AD320" s="1">
        <v>2011</v>
      </c>
      <c r="AE320" t="s">
        <v>42</v>
      </c>
      <c r="AF320" t="s">
        <v>221</v>
      </c>
    </row>
    <row r="321" spans="1:32" hidden="1" x14ac:dyDescent="0.25">
      <c r="A321" s="4" t="s">
        <v>59</v>
      </c>
      <c r="B321" s="1">
        <v>24</v>
      </c>
      <c r="C321" s="1">
        <v>80</v>
      </c>
      <c r="D321" s="1">
        <v>100</v>
      </c>
      <c r="E321" s="1">
        <f t="shared" si="15"/>
        <v>3.3793932593841378E-2</v>
      </c>
      <c r="H321">
        <v>36.9888883612143</v>
      </c>
      <c r="I321" s="1">
        <v>8</v>
      </c>
      <c r="X321">
        <v>1.85784646201964</v>
      </c>
      <c r="Y321" s="1">
        <v>0.1</v>
      </c>
      <c r="AC321" t="s">
        <v>32</v>
      </c>
      <c r="AD321" s="1">
        <v>2011</v>
      </c>
      <c r="AE321" t="s">
        <v>42</v>
      </c>
      <c r="AF321" t="s">
        <v>221</v>
      </c>
    </row>
    <row r="322" spans="1:32" hidden="1" x14ac:dyDescent="0.25">
      <c r="A322" s="4" t="s">
        <v>59</v>
      </c>
      <c r="B322" s="1">
        <v>24</v>
      </c>
      <c r="C322" s="1">
        <v>110</v>
      </c>
      <c r="D322" s="1">
        <v>100</v>
      </c>
      <c r="E322" s="1">
        <f t="shared" si="15"/>
        <v>1.6151558104339086E-2</v>
      </c>
      <c r="H322">
        <v>56.285028553789097</v>
      </c>
      <c r="I322" s="1">
        <v>8</v>
      </c>
      <c r="X322">
        <v>1.9502960763296999</v>
      </c>
      <c r="Y322" s="1">
        <v>0.1</v>
      </c>
      <c r="AC322" t="s">
        <v>32</v>
      </c>
      <c r="AD322" s="1">
        <v>2011</v>
      </c>
      <c r="AE322" t="s">
        <v>42</v>
      </c>
      <c r="AF322" t="s">
        <v>221</v>
      </c>
    </row>
    <row r="323" spans="1:32" hidden="1" x14ac:dyDescent="0.25">
      <c r="A323" s="4" t="s">
        <v>59</v>
      </c>
      <c r="B323" s="1">
        <v>24</v>
      </c>
      <c r="C323" s="1">
        <v>140</v>
      </c>
      <c r="D323" s="1">
        <v>100</v>
      </c>
      <c r="E323" s="1">
        <f t="shared" si="15"/>
        <v>1.5222262509128788E-2</v>
      </c>
      <c r="H323">
        <v>46.923754852956797</v>
      </c>
      <c r="I323" s="1">
        <v>8</v>
      </c>
      <c r="X323">
        <v>1.93645340970989</v>
      </c>
      <c r="Y323" s="1">
        <v>0.1</v>
      </c>
      <c r="AC323" t="s">
        <v>32</v>
      </c>
      <c r="AD323" s="1">
        <v>2011</v>
      </c>
      <c r="AE323" t="s">
        <v>42</v>
      </c>
      <c r="AF323" t="s">
        <v>221</v>
      </c>
    </row>
    <row r="324" spans="1:32" hidden="1" x14ac:dyDescent="0.25">
      <c r="A324" s="4" t="s">
        <v>59</v>
      </c>
      <c r="B324" s="1">
        <v>24</v>
      </c>
      <c r="C324" s="1">
        <v>170</v>
      </c>
      <c r="D324" s="1">
        <v>100</v>
      </c>
      <c r="E324" s="1">
        <f t="shared" si="15"/>
        <v>1.4770737459428303E-2</v>
      </c>
      <c r="H324">
        <v>39.824368670378796</v>
      </c>
      <c r="I324" s="1">
        <v>8</v>
      </c>
      <c r="X324">
        <v>1.9823461193793801</v>
      </c>
      <c r="Y324" s="1">
        <v>0.1</v>
      </c>
      <c r="AC324" t="s">
        <v>32</v>
      </c>
      <c r="AD324" s="1">
        <v>2011</v>
      </c>
      <c r="AE324" t="s">
        <v>42</v>
      </c>
      <c r="AF324" t="s">
        <v>221</v>
      </c>
    </row>
    <row r="325" spans="1:32" hidden="1" x14ac:dyDescent="0.25">
      <c r="A325" s="4" t="s">
        <v>59</v>
      </c>
      <c r="B325" s="1">
        <v>24</v>
      </c>
      <c r="C325" s="1">
        <v>200</v>
      </c>
      <c r="D325" s="1">
        <v>100</v>
      </c>
      <c r="E325" s="1">
        <f t="shared" si="15"/>
        <v>8.623512104502476E-3</v>
      </c>
      <c r="H325">
        <v>57.981016776093099</v>
      </c>
      <c r="I325" s="1">
        <v>10</v>
      </c>
      <c r="X325">
        <v>2.0282704573808199</v>
      </c>
      <c r="Y325" s="1">
        <v>0.1</v>
      </c>
      <c r="AC325" t="s">
        <v>32</v>
      </c>
      <c r="AD325" s="1">
        <v>2011</v>
      </c>
      <c r="AE325" t="s">
        <v>42</v>
      </c>
      <c r="AF325" t="s">
        <v>221</v>
      </c>
    </row>
    <row r="326" spans="1:32" hidden="1" x14ac:dyDescent="0.25">
      <c r="A326" s="4" t="s">
        <v>59</v>
      </c>
      <c r="B326" s="1">
        <v>24</v>
      </c>
      <c r="C326" s="1">
        <v>250</v>
      </c>
      <c r="D326" s="1">
        <v>100</v>
      </c>
      <c r="E326" s="1">
        <f t="shared" si="15"/>
        <v>9.2191035539060384E-3</v>
      </c>
      <c r="H326">
        <v>43.3881665024279</v>
      </c>
      <c r="I326" s="1">
        <v>8</v>
      </c>
      <c r="X326">
        <v>1.9675756883555</v>
      </c>
      <c r="Y326" s="1">
        <v>0.1</v>
      </c>
      <c r="AC326" t="s">
        <v>32</v>
      </c>
      <c r="AD326" s="1">
        <v>2011</v>
      </c>
      <c r="AE326" t="s">
        <v>42</v>
      </c>
      <c r="AF326" t="s">
        <v>221</v>
      </c>
    </row>
    <row r="327" spans="1:32" hidden="1" x14ac:dyDescent="0.25">
      <c r="A327" s="4" t="s">
        <v>59</v>
      </c>
      <c r="B327" s="1">
        <v>24</v>
      </c>
      <c r="C327" s="1">
        <v>300</v>
      </c>
      <c r="D327" s="1">
        <v>100</v>
      </c>
      <c r="E327" s="1">
        <f t="shared" si="15"/>
        <v>5.7645610157809942E-3</v>
      </c>
      <c r="H327">
        <v>57.824582378572096</v>
      </c>
      <c r="I327" s="1">
        <v>8</v>
      </c>
      <c r="X327">
        <v>1.9998260441742299</v>
      </c>
      <c r="Y327" s="1">
        <v>0.1</v>
      </c>
      <c r="AC327" t="s">
        <v>32</v>
      </c>
      <c r="AD327" s="1">
        <v>2011</v>
      </c>
      <c r="AE327" t="s">
        <v>42</v>
      </c>
      <c r="AF327" t="s">
        <v>221</v>
      </c>
    </row>
    <row r="328" spans="1:32" hidden="1" x14ac:dyDescent="0.25">
      <c r="A328" s="4"/>
      <c r="B328" s="1">
        <v>30</v>
      </c>
      <c r="E328" s="1">
        <v>1.8315640000000001E-2</v>
      </c>
      <c r="X328" s="1">
        <v>1.7</v>
      </c>
      <c r="Y328" s="1">
        <v>0.1</v>
      </c>
      <c r="AC328" t="s">
        <v>46</v>
      </c>
      <c r="AD328" s="1">
        <v>2020</v>
      </c>
      <c r="AE328" t="s">
        <v>46</v>
      </c>
    </row>
    <row r="329" spans="1:32" hidden="1" x14ac:dyDescent="0.25">
      <c r="A329" s="4"/>
      <c r="B329" s="1">
        <v>30</v>
      </c>
      <c r="E329" s="1">
        <v>0.1</v>
      </c>
      <c r="X329" s="1">
        <v>1.7</v>
      </c>
      <c r="Y329" s="1">
        <v>0.1</v>
      </c>
      <c r="AA329" s="1"/>
      <c r="AC329" t="s">
        <v>46</v>
      </c>
      <c r="AD329" s="1">
        <v>2020</v>
      </c>
      <c r="AE329" t="s">
        <v>46</v>
      </c>
    </row>
    <row r="330" spans="1:32" hidden="1" x14ac:dyDescent="0.25">
      <c r="A330" s="4"/>
      <c r="B330" s="1">
        <v>30</v>
      </c>
      <c r="E330" s="1">
        <v>1</v>
      </c>
      <c r="X330" s="1">
        <v>1.7</v>
      </c>
      <c r="Y330" s="1">
        <v>0.1</v>
      </c>
      <c r="AC330" t="s">
        <v>46</v>
      </c>
      <c r="AD330" s="1">
        <v>2020</v>
      </c>
      <c r="AE330" t="s">
        <v>46</v>
      </c>
    </row>
    <row r="331" spans="1:32" hidden="1" x14ac:dyDescent="0.25">
      <c r="A331" s="4"/>
      <c r="B331" s="1">
        <v>30</v>
      </c>
      <c r="E331" s="1">
        <v>2</v>
      </c>
      <c r="X331" s="1">
        <v>1.7</v>
      </c>
      <c r="Y331" s="1">
        <v>0.1</v>
      </c>
      <c r="AA331" s="1"/>
      <c r="AC331" t="s">
        <v>46</v>
      </c>
      <c r="AD331" s="1">
        <v>2020</v>
      </c>
      <c r="AE331" t="s">
        <v>46</v>
      </c>
    </row>
    <row r="332" spans="1:32" hidden="1" x14ac:dyDescent="0.25">
      <c r="A332" s="4"/>
      <c r="B332" s="1">
        <v>30</v>
      </c>
      <c r="E332" s="1">
        <v>1.8315640000000001E-2</v>
      </c>
      <c r="X332" s="1">
        <v>1.7</v>
      </c>
      <c r="Y332" s="1">
        <v>0.1</v>
      </c>
      <c r="AC332" t="s">
        <v>46</v>
      </c>
      <c r="AD332" s="1">
        <v>2020</v>
      </c>
      <c r="AE332" t="s">
        <v>46</v>
      </c>
    </row>
    <row r="333" spans="1:32" hidden="1" x14ac:dyDescent="0.25">
      <c r="A333" s="4"/>
      <c r="B333" s="1">
        <v>15</v>
      </c>
      <c r="E333" s="1">
        <v>1.8315640000000001E-2</v>
      </c>
      <c r="X333" s="1">
        <v>1.7</v>
      </c>
      <c r="Y333" s="1">
        <v>0.1</v>
      </c>
      <c r="AC333" t="s">
        <v>46</v>
      </c>
      <c r="AD333" s="1">
        <v>2020</v>
      </c>
      <c r="AE333" t="s">
        <v>46</v>
      </c>
    </row>
    <row r="334" spans="1:32" hidden="1" x14ac:dyDescent="0.25">
      <c r="A334" s="4"/>
      <c r="B334" s="1">
        <v>30</v>
      </c>
      <c r="E334" s="1">
        <v>1.8315640000000001E-2</v>
      </c>
      <c r="X334" s="1">
        <v>1.7</v>
      </c>
      <c r="Y334" s="1">
        <v>0.1</v>
      </c>
      <c r="AA334" s="1"/>
      <c r="AC334" t="s">
        <v>46</v>
      </c>
      <c r="AD334" s="1">
        <v>2020</v>
      </c>
      <c r="AE334" t="s">
        <v>46</v>
      </c>
    </row>
    <row r="335" spans="1:32" hidden="1" x14ac:dyDescent="0.25">
      <c r="A335" s="4"/>
      <c r="B335" s="1">
        <v>35</v>
      </c>
      <c r="E335" s="1">
        <v>1.8315640000000001E-2</v>
      </c>
      <c r="X335" s="1">
        <v>1.7</v>
      </c>
      <c r="Y335" s="1">
        <v>0.1</v>
      </c>
      <c r="AC335" t="s">
        <v>46</v>
      </c>
      <c r="AD335" s="1">
        <v>2020</v>
      </c>
      <c r="AE335" t="s">
        <v>46</v>
      </c>
    </row>
    <row r="336" spans="1:32" hidden="1" x14ac:dyDescent="0.25">
      <c r="A336" s="4"/>
      <c r="B336" s="1">
        <v>25</v>
      </c>
      <c r="E336" s="1">
        <v>1.8315640000000001E-2</v>
      </c>
      <c r="X336" s="1">
        <v>1.7</v>
      </c>
      <c r="Y336" s="1">
        <v>0.1</v>
      </c>
      <c r="AA336" s="1"/>
      <c r="AC336" t="s">
        <v>46</v>
      </c>
      <c r="AD336" s="1">
        <v>2020</v>
      </c>
      <c r="AE336" t="s">
        <v>46</v>
      </c>
    </row>
    <row r="337" spans="1:31" hidden="1" x14ac:dyDescent="0.25">
      <c r="A337" s="4"/>
      <c r="B337" s="1">
        <v>20</v>
      </c>
      <c r="E337" s="1">
        <v>1.8315640000000001E-2</v>
      </c>
      <c r="X337" s="1">
        <v>1.7</v>
      </c>
      <c r="Y337" s="1">
        <v>0.1</v>
      </c>
      <c r="AC337" t="s">
        <v>46</v>
      </c>
      <c r="AD337" s="1">
        <v>2020</v>
      </c>
      <c r="AE337" t="s">
        <v>46</v>
      </c>
    </row>
    <row r="338" spans="1:31" hidden="1" x14ac:dyDescent="0.25">
      <c r="A338" s="4"/>
      <c r="B338" s="1">
        <v>12</v>
      </c>
      <c r="E338" s="1">
        <v>1.8315640000000001E-2</v>
      </c>
      <c r="X338" s="1">
        <v>1.7</v>
      </c>
      <c r="Y338" s="1">
        <v>0.1</v>
      </c>
      <c r="AC338" t="s">
        <v>46</v>
      </c>
      <c r="AD338" s="1">
        <v>2020</v>
      </c>
      <c r="AE338" t="s">
        <v>46</v>
      </c>
    </row>
    <row r="339" spans="1:31" hidden="1" x14ac:dyDescent="0.25">
      <c r="A339" s="4"/>
      <c r="B339" s="1">
        <v>12</v>
      </c>
      <c r="E339" s="1">
        <v>2</v>
      </c>
      <c r="X339" s="1">
        <v>3.6</v>
      </c>
      <c r="Y339" s="1">
        <v>0.1</v>
      </c>
      <c r="AA339" s="1"/>
      <c r="AC339" t="s">
        <v>46</v>
      </c>
      <c r="AD339" s="1">
        <v>2020</v>
      </c>
      <c r="AE339" t="s">
        <v>46</v>
      </c>
    </row>
    <row r="340" spans="1:31" hidden="1" x14ac:dyDescent="0.25">
      <c r="A340" s="4"/>
      <c r="B340" s="1">
        <v>12</v>
      </c>
      <c r="E340" s="1">
        <v>0.1</v>
      </c>
      <c r="X340" s="1">
        <v>3.6</v>
      </c>
      <c r="Y340" s="1">
        <v>0.1</v>
      </c>
      <c r="AC340" t="s">
        <v>46</v>
      </c>
      <c r="AD340" s="1">
        <v>2020</v>
      </c>
      <c r="AE340" t="s">
        <v>46</v>
      </c>
    </row>
    <row r="341" spans="1:31" hidden="1" x14ac:dyDescent="0.25">
      <c r="A341" s="4"/>
      <c r="B341" s="1">
        <v>18</v>
      </c>
      <c r="E341" s="1">
        <v>2</v>
      </c>
      <c r="X341" s="1">
        <v>3.6</v>
      </c>
      <c r="Y341" s="1">
        <v>0.1</v>
      </c>
      <c r="AC341" t="s">
        <v>46</v>
      </c>
      <c r="AD341" s="1">
        <v>2020</v>
      </c>
      <c r="AE341" t="s">
        <v>46</v>
      </c>
    </row>
    <row r="342" spans="1:31" hidden="1" x14ac:dyDescent="0.25">
      <c r="A342" s="4"/>
      <c r="B342" s="1">
        <v>21</v>
      </c>
      <c r="E342" s="1">
        <v>2</v>
      </c>
      <c r="X342" s="1">
        <v>3.6</v>
      </c>
      <c r="Y342" s="1">
        <v>0.1</v>
      </c>
      <c r="AC342" t="s">
        <v>46</v>
      </c>
      <c r="AD342" s="1">
        <v>2020</v>
      </c>
      <c r="AE342" t="s">
        <v>46</v>
      </c>
    </row>
    <row r="343" spans="1:31" hidden="1" x14ac:dyDescent="0.25">
      <c r="A343" s="4"/>
      <c r="B343" s="1">
        <v>24</v>
      </c>
      <c r="E343" s="1">
        <v>2</v>
      </c>
      <c r="X343" s="1">
        <v>3.6</v>
      </c>
      <c r="Y343" s="1">
        <v>0.1</v>
      </c>
      <c r="AC343" t="s">
        <v>46</v>
      </c>
      <c r="AD343" s="1">
        <v>2020</v>
      </c>
      <c r="AE343" t="s">
        <v>46</v>
      </c>
    </row>
    <row r="344" spans="1:31" hidden="1" x14ac:dyDescent="0.25">
      <c r="A344" s="4"/>
      <c r="B344" s="1">
        <v>27</v>
      </c>
      <c r="E344" s="1">
        <v>2</v>
      </c>
      <c r="X344" s="1">
        <v>3.6</v>
      </c>
      <c r="Y344" s="1">
        <v>0.1</v>
      </c>
      <c r="AC344" t="s">
        <v>46</v>
      </c>
      <c r="AD344" s="1">
        <v>2020</v>
      </c>
      <c r="AE344" t="s">
        <v>46</v>
      </c>
    </row>
    <row r="345" spans="1:31" hidden="1" x14ac:dyDescent="0.25">
      <c r="A345" s="4"/>
      <c r="B345" s="1">
        <v>0</v>
      </c>
      <c r="N345" s="1">
        <v>0</v>
      </c>
      <c r="O345" s="1">
        <v>0.15</v>
      </c>
      <c r="AC345" t="s">
        <v>46</v>
      </c>
      <c r="AD345" s="1">
        <v>2020</v>
      </c>
      <c r="AE345" t="s">
        <v>46</v>
      </c>
    </row>
    <row r="346" spans="1:31" hidden="1" x14ac:dyDescent="0.25">
      <c r="A346" s="4"/>
      <c r="B346" s="1">
        <v>15</v>
      </c>
      <c r="E346" s="1">
        <v>0.01</v>
      </c>
      <c r="P346" s="1">
        <v>0</v>
      </c>
      <c r="Q346" s="1">
        <v>0.1</v>
      </c>
      <c r="AA346" s="1"/>
      <c r="AC346" t="s">
        <v>46</v>
      </c>
      <c r="AD346" s="1">
        <v>2020</v>
      </c>
      <c r="AE346" t="s">
        <v>46</v>
      </c>
    </row>
    <row r="347" spans="1:31" hidden="1" x14ac:dyDescent="0.25">
      <c r="A347" s="4"/>
      <c r="B347" s="1">
        <v>40</v>
      </c>
      <c r="E347" s="1">
        <v>0.01</v>
      </c>
      <c r="N347" s="1">
        <v>0</v>
      </c>
      <c r="O347" s="1">
        <v>0.1</v>
      </c>
      <c r="AA347" s="1"/>
      <c r="AC347" t="s">
        <v>46</v>
      </c>
      <c r="AD347" s="1">
        <v>2020</v>
      </c>
      <c r="AE347" t="s">
        <v>46</v>
      </c>
    </row>
    <row r="348" spans="1:31" hidden="1" x14ac:dyDescent="0.25">
      <c r="A348" s="4"/>
      <c r="B348" s="1">
        <v>25</v>
      </c>
      <c r="E348" s="1">
        <v>0.01</v>
      </c>
      <c r="P348" s="1">
        <v>0</v>
      </c>
      <c r="Q348" s="1">
        <v>0.1</v>
      </c>
      <c r="AA348" s="1"/>
      <c r="AC348" t="s">
        <v>46</v>
      </c>
      <c r="AD348" s="1">
        <v>2020</v>
      </c>
      <c r="AE348" t="s">
        <v>46</v>
      </c>
    </row>
    <row r="349" spans="1:31" hidden="1" x14ac:dyDescent="0.25">
      <c r="A349" s="4"/>
      <c r="B349" s="1">
        <v>20</v>
      </c>
      <c r="E349" s="1">
        <v>0.01</v>
      </c>
      <c r="P349" s="1">
        <v>0</v>
      </c>
      <c r="Q349" s="1">
        <v>0.1</v>
      </c>
      <c r="AA349" s="1"/>
      <c r="AC349" t="s">
        <v>46</v>
      </c>
      <c r="AD349" s="1">
        <v>2020</v>
      </c>
      <c r="AE349" t="s">
        <v>46</v>
      </c>
    </row>
    <row r="350" spans="1:31" x14ac:dyDescent="0.25">
      <c r="B350" s="1">
        <v>20</v>
      </c>
      <c r="X350" s="1">
        <v>1.5</v>
      </c>
      <c r="Y350" s="1">
        <v>0.01</v>
      </c>
      <c r="Z350" s="1">
        <v>0</v>
      </c>
      <c r="AA350" s="1">
        <v>100</v>
      </c>
      <c r="AB350" s="1">
        <v>0.01</v>
      </c>
      <c r="AC350" t="s">
        <v>46</v>
      </c>
      <c r="AD350" s="1">
        <v>2020</v>
      </c>
      <c r="AE350" t="s">
        <v>46</v>
      </c>
    </row>
    <row r="351" spans="1:31" x14ac:dyDescent="0.25">
      <c r="B351" s="1">
        <v>30</v>
      </c>
      <c r="X351" s="1">
        <v>1.5</v>
      </c>
      <c r="Y351" s="1">
        <v>0.01</v>
      </c>
      <c r="Z351" s="1">
        <v>0</v>
      </c>
      <c r="AA351" s="1">
        <v>100</v>
      </c>
      <c r="AB351" s="1">
        <v>0.01</v>
      </c>
      <c r="AC351" t="s">
        <v>46</v>
      </c>
      <c r="AD351" s="1">
        <v>2020</v>
      </c>
      <c r="AE351" t="s">
        <v>46</v>
      </c>
    </row>
    <row r="352" spans="1:31" x14ac:dyDescent="0.25">
      <c r="B352" s="1">
        <v>8</v>
      </c>
      <c r="X352" s="1">
        <v>2.4</v>
      </c>
      <c r="Y352" s="1">
        <v>0.01</v>
      </c>
      <c r="Z352" s="1">
        <v>0</v>
      </c>
      <c r="AA352" s="1">
        <v>100</v>
      </c>
      <c r="AB352" s="1">
        <v>0.01</v>
      </c>
      <c r="AC352" t="s">
        <v>46</v>
      </c>
      <c r="AD352" s="1">
        <v>2020</v>
      </c>
      <c r="AE352" t="s">
        <v>46</v>
      </c>
    </row>
    <row r="353" spans="2:31" x14ac:dyDescent="0.25">
      <c r="B353" s="1">
        <v>8</v>
      </c>
      <c r="X353" s="1">
        <v>3.6</v>
      </c>
      <c r="Y353" s="1">
        <v>0.01</v>
      </c>
      <c r="Z353" s="1">
        <v>0</v>
      </c>
      <c r="AA353" s="1">
        <v>100</v>
      </c>
      <c r="AB353" s="1">
        <v>0.01</v>
      </c>
      <c r="AC353" t="s">
        <v>46</v>
      </c>
      <c r="AD353" s="1">
        <v>2020</v>
      </c>
      <c r="AE353" t="s">
        <v>46</v>
      </c>
    </row>
    <row r="354" spans="2:31" x14ac:dyDescent="0.25">
      <c r="B354" s="1">
        <v>35</v>
      </c>
      <c r="X354" s="1">
        <v>2.4</v>
      </c>
      <c r="Y354" s="1">
        <v>0.01</v>
      </c>
      <c r="Z354" s="1">
        <v>0</v>
      </c>
      <c r="AA354" s="1">
        <v>100</v>
      </c>
      <c r="AB354" s="1">
        <v>0.01</v>
      </c>
      <c r="AC354" t="s">
        <v>46</v>
      </c>
      <c r="AD354" s="1">
        <v>2020</v>
      </c>
      <c r="AE354" t="s">
        <v>46</v>
      </c>
    </row>
    <row r="355" spans="2:31" x14ac:dyDescent="0.25">
      <c r="B355" s="1">
        <v>20</v>
      </c>
      <c r="X355" s="1">
        <v>3.6</v>
      </c>
      <c r="Y355" s="1">
        <v>0.01</v>
      </c>
      <c r="Z355" s="1">
        <v>98</v>
      </c>
      <c r="AA355" s="1">
        <v>100</v>
      </c>
      <c r="AB355" s="1">
        <v>0.01</v>
      </c>
      <c r="AC355" t="s">
        <v>46</v>
      </c>
      <c r="AD355" s="1">
        <v>2020</v>
      </c>
      <c r="AE355" t="s">
        <v>46</v>
      </c>
    </row>
    <row r="356" spans="2:31" x14ac:dyDescent="0.25">
      <c r="B356" s="1">
        <v>25</v>
      </c>
      <c r="X356" s="1">
        <v>3.6</v>
      </c>
      <c r="Y356" s="1">
        <v>0.01</v>
      </c>
      <c r="Z356" s="1">
        <v>98</v>
      </c>
      <c r="AA356" s="1">
        <v>100</v>
      </c>
      <c r="AB356" s="1">
        <v>0.01</v>
      </c>
      <c r="AC356" t="s">
        <v>46</v>
      </c>
      <c r="AD356" s="1">
        <v>2020</v>
      </c>
      <c r="AE356" t="s">
        <v>46</v>
      </c>
    </row>
  </sheetData>
  <autoFilter ref="A1:AF356" xr:uid="{00000000-0009-0000-0000-000000000000}">
    <filterColumn colId="2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AE33"/>
  <sheetViews>
    <sheetView topLeftCell="A25" workbookViewId="0">
      <selection activeCell="A37" sqref="A37:XFD37"/>
    </sheetView>
  </sheetViews>
  <sheetFormatPr defaultRowHeight="15" x14ac:dyDescent="0.25"/>
  <sheetData>
    <row r="7" spans="4:14" x14ac:dyDescent="0.25">
      <c r="D7">
        <v>5.8</v>
      </c>
      <c r="E7">
        <v>0.1</v>
      </c>
      <c r="F7">
        <v>5.0999999999999996</v>
      </c>
      <c r="G7">
        <v>0.2</v>
      </c>
      <c r="H7">
        <v>7</v>
      </c>
      <c r="I7">
        <v>0.1</v>
      </c>
      <c r="J7">
        <v>16.7</v>
      </c>
      <c r="K7">
        <v>0.4</v>
      </c>
      <c r="L7">
        <f>(0.25*D7+0.5*F7+0.75*H7+1*J7)/(D7+F7+H7+J7)</f>
        <v>0.75000000000000011</v>
      </c>
      <c r="M7">
        <f>(0.2*E7+0.4*G7+0.6*I7+0.8*K7)/(D7+F7+H7+J7)</f>
        <v>1.3872832369942202E-2</v>
      </c>
      <c r="N7">
        <v>34.599999999999994</v>
      </c>
    </row>
    <row r="8" spans="4:14" x14ac:dyDescent="0.25">
      <c r="D8">
        <v>5.6</v>
      </c>
      <c r="E8">
        <v>0.3</v>
      </c>
      <c r="F8">
        <v>3.3</v>
      </c>
      <c r="G8">
        <v>0.2</v>
      </c>
      <c r="H8">
        <v>4.5999999999999996</v>
      </c>
      <c r="I8">
        <v>0.2</v>
      </c>
      <c r="J8">
        <v>13.4</v>
      </c>
      <c r="K8">
        <v>0.8</v>
      </c>
      <c r="L8">
        <f t="shared" ref="L8:L12" si="0">(0.25*D8+0.5*F8+0.75*H8+1*J8)/(D8+F8+H8+J8)</f>
        <v>0.73977695167286239</v>
      </c>
      <c r="M8">
        <f t="shared" ref="M8:M12" si="1">(0.2*E8+0.4*G8+0.6*I8+0.8*K8)/(D8+F8+H8+J8)</f>
        <v>3.3457249070631974E-2</v>
      </c>
      <c r="N8">
        <v>26.9</v>
      </c>
    </row>
    <row r="9" spans="4:14" x14ac:dyDescent="0.25">
      <c r="D9">
        <v>2.5</v>
      </c>
      <c r="E9">
        <v>0.1</v>
      </c>
      <c r="F9">
        <v>2</v>
      </c>
      <c r="G9">
        <v>0.1</v>
      </c>
      <c r="H9">
        <v>2.4</v>
      </c>
      <c r="I9">
        <v>0.1</v>
      </c>
      <c r="J9">
        <v>5</v>
      </c>
      <c r="K9">
        <v>0.1</v>
      </c>
      <c r="L9">
        <f t="shared" si="0"/>
        <v>0.70798319327731096</v>
      </c>
      <c r="M9">
        <f t="shared" si="1"/>
        <v>1.680672268907563E-2</v>
      </c>
      <c r="N9">
        <v>11.9</v>
      </c>
    </row>
    <row r="10" spans="4:14" x14ac:dyDescent="0.25">
      <c r="D10">
        <v>2.1</v>
      </c>
      <c r="E10">
        <v>0.2</v>
      </c>
      <c r="F10">
        <v>1.2</v>
      </c>
      <c r="G10">
        <v>0.2</v>
      </c>
      <c r="H10">
        <v>1.2</v>
      </c>
      <c r="I10">
        <v>0.1</v>
      </c>
      <c r="J10">
        <v>3.3</v>
      </c>
      <c r="K10">
        <v>0.2</v>
      </c>
      <c r="L10">
        <f t="shared" si="0"/>
        <v>0.6826923076923076</v>
      </c>
      <c r="M10">
        <f t="shared" si="1"/>
        <v>4.3589743589743601E-2</v>
      </c>
      <c r="N10">
        <v>7.8</v>
      </c>
    </row>
    <row r="11" spans="4:14" x14ac:dyDescent="0.25">
      <c r="D11">
        <v>2</v>
      </c>
      <c r="E11">
        <v>0</v>
      </c>
      <c r="F11">
        <v>1.1000000000000001</v>
      </c>
      <c r="G11">
        <v>0</v>
      </c>
      <c r="H11">
        <v>1.4</v>
      </c>
      <c r="I11">
        <v>0.1</v>
      </c>
      <c r="J11">
        <v>3.5</v>
      </c>
      <c r="K11">
        <v>0.1</v>
      </c>
      <c r="L11">
        <f t="shared" si="0"/>
        <v>0.7</v>
      </c>
      <c r="M11">
        <f t="shared" si="1"/>
        <v>1.7500000000000002E-2</v>
      </c>
      <c r="N11">
        <v>8</v>
      </c>
    </row>
    <row r="12" spans="4:14" x14ac:dyDescent="0.25">
      <c r="D12">
        <v>1.4</v>
      </c>
      <c r="E12">
        <v>0.1</v>
      </c>
      <c r="F12">
        <v>1.3</v>
      </c>
      <c r="G12">
        <v>0.1</v>
      </c>
      <c r="H12">
        <v>1.4</v>
      </c>
      <c r="I12">
        <v>0.2</v>
      </c>
      <c r="J12">
        <v>3</v>
      </c>
      <c r="K12">
        <v>0.3</v>
      </c>
      <c r="L12">
        <f t="shared" si="0"/>
        <v>0.71126760563380287</v>
      </c>
      <c r="M12">
        <f t="shared" si="1"/>
        <v>5.9154929577464786E-2</v>
      </c>
      <c r="N12">
        <v>7.1</v>
      </c>
    </row>
    <row r="15" spans="4:14" x14ac:dyDescent="0.25">
      <c r="D15">
        <v>0.98</v>
      </c>
      <c r="E15">
        <v>0.01</v>
      </c>
      <c r="F15">
        <v>0.99</v>
      </c>
      <c r="G15">
        <v>0.01</v>
      </c>
      <c r="H15">
        <v>1</v>
      </c>
      <c r="I15">
        <v>0</v>
      </c>
      <c r="J15">
        <v>0.98</v>
      </c>
      <c r="K15">
        <v>0.01</v>
      </c>
      <c r="L15">
        <f>D15*F15*H15*J15</f>
        <v>0.95079599999999997</v>
      </c>
    </row>
    <row r="16" spans="4:14" x14ac:dyDescent="0.25">
      <c r="D16">
        <v>0.89</v>
      </c>
      <c r="E16">
        <v>0.04</v>
      </c>
      <c r="F16">
        <v>0.93</v>
      </c>
      <c r="G16">
        <v>0.03</v>
      </c>
      <c r="H16">
        <v>0.86</v>
      </c>
      <c r="I16">
        <v>0.03</v>
      </c>
      <c r="J16">
        <v>0.84</v>
      </c>
      <c r="K16">
        <v>0.05</v>
      </c>
      <c r="L16">
        <f t="shared" ref="L16:L20" si="2">D16*F16*H16*J16</f>
        <v>0.59793048000000004</v>
      </c>
    </row>
    <row r="17" spans="1:31" x14ac:dyDescent="0.25">
      <c r="D17">
        <v>0.97</v>
      </c>
      <c r="E17">
        <v>0.02</v>
      </c>
      <c r="F17">
        <v>0.99</v>
      </c>
      <c r="G17">
        <v>0.01</v>
      </c>
      <c r="H17">
        <v>0.99</v>
      </c>
      <c r="I17">
        <v>0.01</v>
      </c>
      <c r="J17">
        <v>0.99</v>
      </c>
      <c r="K17">
        <v>0.01</v>
      </c>
      <c r="L17">
        <f t="shared" si="2"/>
        <v>0.9411900299999999</v>
      </c>
    </row>
    <row r="18" spans="1:31" x14ac:dyDescent="0.25">
      <c r="D18">
        <v>0.93</v>
      </c>
      <c r="E18">
        <v>0.03</v>
      </c>
      <c r="F18">
        <v>0.95</v>
      </c>
      <c r="G18">
        <v>0.03</v>
      </c>
      <c r="H18">
        <v>0.96</v>
      </c>
      <c r="I18">
        <v>0.02</v>
      </c>
      <c r="J18">
        <v>0.97</v>
      </c>
      <c r="K18">
        <v>0.02</v>
      </c>
      <c r="L18">
        <f t="shared" si="2"/>
        <v>0.82271519999999987</v>
      </c>
    </row>
    <row r="19" spans="1:31" x14ac:dyDescent="0.25">
      <c r="D19">
        <v>0.97</v>
      </c>
      <c r="E19">
        <v>0.02</v>
      </c>
      <c r="F19">
        <v>0.99</v>
      </c>
      <c r="G19">
        <v>0.01</v>
      </c>
      <c r="H19">
        <v>0.98</v>
      </c>
      <c r="I19">
        <v>0.01</v>
      </c>
      <c r="J19">
        <v>0.9</v>
      </c>
      <c r="K19">
        <v>0.03</v>
      </c>
      <c r="L19">
        <f t="shared" si="2"/>
        <v>0.84698459999999987</v>
      </c>
    </row>
    <row r="20" spans="1:31" x14ac:dyDescent="0.25">
      <c r="D20">
        <v>0.88</v>
      </c>
      <c r="E20">
        <v>0.04</v>
      </c>
      <c r="F20">
        <v>0.99</v>
      </c>
      <c r="G20">
        <v>0.01</v>
      </c>
      <c r="H20">
        <v>0.96</v>
      </c>
      <c r="I20">
        <v>0.02</v>
      </c>
      <c r="J20">
        <v>0.91</v>
      </c>
      <c r="K20">
        <v>0.04</v>
      </c>
      <c r="L20">
        <f t="shared" si="2"/>
        <v>0.76108032000000003</v>
      </c>
    </row>
    <row r="23" spans="1:31" x14ac:dyDescent="0.25">
      <c r="D23">
        <v>35</v>
      </c>
      <c r="E23">
        <v>0.9</v>
      </c>
    </row>
    <row r="24" spans="1:31" x14ac:dyDescent="0.25">
      <c r="D24">
        <v>14.4</v>
      </c>
      <c r="E24">
        <v>0.4</v>
      </c>
    </row>
    <row r="25" spans="1:31" x14ac:dyDescent="0.25">
      <c r="D25">
        <v>10.4</v>
      </c>
      <c r="E25">
        <v>0.7</v>
      </c>
    </row>
    <row r="26" spans="1:31" x14ac:dyDescent="0.25">
      <c r="D26">
        <v>8.8000000000000007</v>
      </c>
      <c r="E26">
        <v>0.6</v>
      </c>
    </row>
    <row r="27" spans="1:31" x14ac:dyDescent="0.25">
      <c r="D27">
        <v>12.3</v>
      </c>
      <c r="E27">
        <v>0.7</v>
      </c>
    </row>
    <row r="29" spans="1:31" x14ac:dyDescent="0.25">
      <c r="A29" t="s">
        <v>47</v>
      </c>
      <c r="B29" s="1">
        <v>28</v>
      </c>
      <c r="C29" s="1">
        <f>49439*0.6925</f>
        <v>34236.5075</v>
      </c>
      <c r="D29" s="1">
        <f>850000*0.04</f>
        <v>34000</v>
      </c>
      <c r="E29" s="1">
        <f>D29/C29</f>
        <v>0.99309195016460139</v>
      </c>
      <c r="F29" s="1"/>
      <c r="G29" s="1"/>
      <c r="H29" s="1">
        <v>7.86</v>
      </c>
      <c r="I29" s="1">
        <v>0.06</v>
      </c>
      <c r="J29" s="1"/>
      <c r="K29" s="1"/>
      <c r="L29" s="1"/>
      <c r="M29" s="1"/>
      <c r="N29" s="1">
        <v>0.6925</v>
      </c>
      <c r="O29" s="1">
        <v>3.5700000000000003E-2</v>
      </c>
      <c r="P29" s="1"/>
      <c r="Q29" s="1">
        <v>7.7000000000000002E-3</v>
      </c>
      <c r="R29" s="1"/>
      <c r="S29" s="1"/>
      <c r="T29" s="1"/>
      <c r="U29" s="1"/>
      <c r="V29" s="1"/>
      <c r="W29" s="1"/>
      <c r="X29" s="1">
        <v>2.5590000000000002</v>
      </c>
      <c r="Y29" s="1">
        <v>0.02</v>
      </c>
      <c r="Z29" s="1"/>
      <c r="AB29" s="1"/>
      <c r="AC29" t="s">
        <v>40</v>
      </c>
      <c r="AD29" s="1">
        <v>2008</v>
      </c>
      <c r="AE29" t="s">
        <v>48</v>
      </c>
    </row>
    <row r="30" spans="1:31" x14ac:dyDescent="0.25">
      <c r="A30" t="s">
        <v>47</v>
      </c>
      <c r="B30" s="1">
        <v>28</v>
      </c>
      <c r="C30" s="1">
        <f>70865*0.7525</f>
        <v>53325.912499999999</v>
      </c>
      <c r="D30" s="1">
        <f>800000*0.04</f>
        <v>32000</v>
      </c>
      <c r="E30" s="1">
        <f>D30/C30</f>
        <v>0.60008349599268462</v>
      </c>
      <c r="F30" s="1"/>
      <c r="G30" s="1"/>
      <c r="H30" s="1">
        <v>7.94</v>
      </c>
      <c r="I30" s="1">
        <v>0.03</v>
      </c>
      <c r="J30" s="1"/>
      <c r="K30" s="1"/>
      <c r="L30" s="1"/>
      <c r="M30" s="1"/>
      <c r="N30" s="1">
        <v>0.75249999999999995</v>
      </c>
      <c r="O30" s="1">
        <v>3.2300000000000002E-2</v>
      </c>
      <c r="P30" s="1"/>
      <c r="Q30" s="1">
        <v>1.8100000000000002E-2</v>
      </c>
      <c r="R30" s="1"/>
      <c r="S30" s="1"/>
      <c r="T30" s="1"/>
      <c r="U30" s="1"/>
      <c r="V30" s="1"/>
      <c r="W30" s="1"/>
      <c r="X30" s="1">
        <v>2.59</v>
      </c>
      <c r="Y30" s="1">
        <v>0.01</v>
      </c>
      <c r="Z30" s="1"/>
      <c r="AB30" s="1"/>
      <c r="AC30" t="s">
        <v>40</v>
      </c>
      <c r="AD30" s="1">
        <v>2008</v>
      </c>
      <c r="AE30" t="s">
        <v>48</v>
      </c>
    </row>
    <row r="31" spans="1:31" x14ac:dyDescent="0.25">
      <c r="A31" t="s">
        <v>47</v>
      </c>
      <c r="B31" s="1">
        <v>28</v>
      </c>
      <c r="C31" s="1">
        <f>69459*0.7625</f>
        <v>52962.487499999996</v>
      </c>
      <c r="D31" s="1">
        <f>800000*0.04</f>
        <v>32000</v>
      </c>
      <c r="E31" s="1">
        <f>D31/C31</f>
        <v>0.60420122827501266</v>
      </c>
      <c r="F31" s="1"/>
      <c r="G31" s="1"/>
      <c r="H31" s="1">
        <v>8.1300000000000008</v>
      </c>
      <c r="I31" s="1">
        <v>0.04</v>
      </c>
      <c r="J31" s="1"/>
      <c r="K31" s="1"/>
      <c r="L31" s="1"/>
      <c r="M31" s="1"/>
      <c r="N31" s="1">
        <v>0.76249999999999996</v>
      </c>
      <c r="O31" s="1">
        <v>3.95E-2</v>
      </c>
      <c r="P31" s="1"/>
      <c r="Q31" s="1">
        <v>7.3000000000000001E-3</v>
      </c>
      <c r="R31" s="1"/>
      <c r="S31" s="1"/>
      <c r="T31" s="1"/>
      <c r="U31" s="1"/>
      <c r="V31" s="1"/>
      <c r="W31" s="1"/>
      <c r="X31" s="1">
        <v>2.5979999999999999</v>
      </c>
      <c r="Y31" s="1">
        <v>0.01</v>
      </c>
      <c r="Z31" s="1"/>
      <c r="AB31" s="1"/>
      <c r="AC31" t="s">
        <v>40</v>
      </c>
      <c r="AD31" s="1">
        <v>2008</v>
      </c>
      <c r="AE31" t="s">
        <v>34</v>
      </c>
    </row>
    <row r="32" spans="1:31" x14ac:dyDescent="0.25">
      <c r="A32" t="s">
        <v>49</v>
      </c>
      <c r="B32" s="1">
        <v>25</v>
      </c>
      <c r="C32" s="1">
        <v>20</v>
      </c>
      <c r="D32" s="1"/>
      <c r="E32" s="1">
        <v>0.2</v>
      </c>
      <c r="F32" s="1"/>
      <c r="G32" s="1"/>
      <c r="H32" s="1"/>
      <c r="I32" s="1"/>
      <c r="J32" s="1"/>
      <c r="K32" s="1"/>
      <c r="L32" s="1">
        <v>10.52</v>
      </c>
      <c r="M32" s="1">
        <v>0.46</v>
      </c>
      <c r="N32" s="1"/>
      <c r="O32" s="1"/>
      <c r="P32" s="1"/>
      <c r="Q32" s="1"/>
      <c r="R32" s="1"/>
      <c r="S32" s="1"/>
      <c r="T32" s="1">
        <v>0.90100000000000002</v>
      </c>
      <c r="U32" s="1">
        <v>1.3299999999999999E-2</v>
      </c>
      <c r="V32" s="1"/>
      <c r="W32" s="1"/>
      <c r="X32" s="1">
        <v>3.16</v>
      </c>
      <c r="Y32" s="1">
        <v>0.05</v>
      </c>
      <c r="Z32" s="1"/>
      <c r="AB32" s="1"/>
      <c r="AC32" t="s">
        <v>35</v>
      </c>
      <c r="AD32">
        <v>1998</v>
      </c>
      <c r="AE32" t="s">
        <v>34</v>
      </c>
    </row>
    <row r="33" spans="1:31" x14ac:dyDescent="0.25">
      <c r="A33" t="s">
        <v>49</v>
      </c>
      <c r="B33" s="1">
        <v>37</v>
      </c>
      <c r="C33" s="1">
        <v>20</v>
      </c>
      <c r="D33" s="1"/>
      <c r="E33" s="1">
        <v>0.2</v>
      </c>
      <c r="F33" s="1"/>
      <c r="G33" s="1"/>
      <c r="H33" s="1"/>
      <c r="I33" s="1"/>
      <c r="J33" s="1"/>
      <c r="K33" s="1"/>
      <c r="L33" s="1">
        <v>7.68</v>
      </c>
      <c r="M33" s="1">
        <v>0.37</v>
      </c>
      <c r="N33" s="1"/>
      <c r="O33" s="1"/>
      <c r="P33" s="1"/>
      <c r="Q33" s="1"/>
      <c r="R33" s="1"/>
      <c r="S33" s="1"/>
      <c r="T33" s="1">
        <v>0.29799999999999999</v>
      </c>
      <c r="U33" s="1">
        <v>3.4000000000000002E-2</v>
      </c>
      <c r="V33" s="1"/>
      <c r="W33" s="1"/>
      <c r="X33" s="1">
        <v>3.15</v>
      </c>
      <c r="Y33" s="1">
        <v>0.06</v>
      </c>
      <c r="Z33" s="1"/>
      <c r="AB33" s="1"/>
      <c r="AC33" t="s">
        <v>35</v>
      </c>
      <c r="AD33">
        <v>1998</v>
      </c>
      <c r="AE33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2" ma:contentTypeDescription="Create a new document." ma:contentTypeScope="" ma:versionID="ddf3745aeadeaea1cc71050f268c5108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cade30eba630453a841979720c42533c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51906-EE21-447A-905C-430BE93C76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FE36AA-A183-4A39-8B8E-02A249496D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1AFE38-6ABF-45CE-B3AD-82B42A87D4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Brass</dc:creator>
  <cp:keywords/>
  <dc:description/>
  <cp:lastModifiedBy>Dominic Brass</cp:lastModifiedBy>
  <cp:revision/>
  <dcterms:created xsi:type="dcterms:W3CDTF">2021-06-16T11:54:46Z</dcterms:created>
  <dcterms:modified xsi:type="dcterms:W3CDTF">2023-04-03T10:32:11Z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