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<sst xmlns="http://schemas.openxmlformats.org/spreadsheetml/2006/main" count="61" uniqueCount="45">
  <si>
    <t>Parameters used to calculate diffusion coefficients</t>
  </si>
  <si>
    <t>compare Gypens et al. (2008)</t>
  </si>
  <si>
    <t>values from Li and Gregory (1974)</t>
  </si>
  <si>
    <t>calculate linear coefficient</t>
  </si>
  <si>
    <t>D at 0</t>
  </si>
  <si>
    <t>m^2/h</t>
  </si>
  <si>
    <t>cm^2/yr</t>
  </si>
  <si>
    <t>NO3/NH4</t>
  </si>
  <si>
    <t>NO3</t>
  </si>
  <si>
    <t>D0O2</t>
  </si>
  <si>
    <t>PO4</t>
  </si>
  <si>
    <t>degree C</t>
  </si>
  <si>
    <t>aO2</t>
  </si>
  <si>
    <t>SO4</t>
  </si>
  <si>
    <t>D0NO3</t>
  </si>
  <si>
    <t>H2S</t>
  </si>
  <si>
    <t>linear coeff</t>
  </si>
  <si>
    <t>aNO3</t>
  </si>
  <si>
    <t>NH4</t>
  </si>
  <si>
    <t>D0PO4</t>
  </si>
  <si>
    <t>Gypens</t>
  </si>
  <si>
    <t>DIC</t>
  </si>
  <si>
    <t>in Gypens language (a is 0.14)</t>
  </si>
  <si>
    <t>aPO4</t>
  </si>
  <si>
    <t>D0SO4</t>
  </si>
  <si>
    <t>D at 25°</t>
  </si>
  <si>
    <t>aSO4</t>
  </si>
  <si>
    <t>D0H2S</t>
  </si>
  <si>
    <t>aH2S</t>
  </si>
  <si>
    <t>D0NH4</t>
  </si>
  <si>
    <t>aNH4</t>
  </si>
  <si>
    <t>Li &amp; Gregory</t>
  </si>
  <si>
    <t>in Gypens language</t>
  </si>
  <si>
    <t>ALKALINTY  USE MEAN(NH4,H2S)</t>
  </si>
  <si>
    <t>Take</t>
  </si>
  <si>
    <t>D0ALK</t>
  </si>
  <si>
    <t>before I used NH4 value, does not make a big difference at all!</t>
  </si>
  <si>
    <t>aALK</t>
  </si>
  <si>
    <t>before I used NH4 value</t>
  </si>
  <si>
    <t>DIC …</t>
  </si>
  <si>
    <t>DIC coefficients were calculated from 25° data for HCO3-,</t>
  </si>
  <si>
    <t>assuming the same linear temp. dependence as for NO3 (see Martin &amp; McCorkle 1993)</t>
  </si>
  <si>
    <t>D25DIC</t>
  </si>
  <si>
    <t>D0DIC</t>
  </si>
  <si>
    <t>aDIC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</si>
</sst>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"/>
    <numFmt numFmtId="167" formatCode="0.00E+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4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90" zoomScaleNormal="90" zoomScalePageLayoutView="100" workbookViewId="0">
      <selection pane="topLeft" activeCell="C32" activeCellId="0" sqref="C32"/>
    </sheetView>
  </sheetViews>
  <sheetFormatPr defaultRowHeight="12.8"/>
  <cols>
    <col collapsed="false" hidden="false" max="2" min="1" style="0" width="11.6887755102041"/>
    <col collapsed="false" hidden="false" max="3" min="3" style="0" width="13.6632653061225"/>
    <col collapsed="false" hidden="false" max="9" min="4" style="0" width="11.6887755102041"/>
    <col collapsed="false" hidden="false" max="10" min="10" style="0" width="18.8010204081633"/>
    <col collapsed="false" hidden="false" max="1025" min="11" style="0" width="11.6887755102041"/>
  </cols>
  <sheetData>
    <row r="3" customFormat="false" ht="14.5" hidden="false" customHeight="true" outlineLevel="0" collapsed="false">
      <c r="A3" s="1" t="s">
        <v>0</v>
      </c>
    </row>
    <row r="4" customFormat="false" ht="12.1" hidden="false" customHeight="true" outlineLevel="0" collapsed="false">
      <c r="A4" s="0" t="s">
        <v>1</v>
      </c>
    </row>
    <row r="5" customFormat="false" ht="13.3" hidden="false" customHeight="true" outlineLevel="0" collapsed="false">
      <c r="G5" s="2" t="s">
        <v>2</v>
      </c>
      <c r="H5" s="2"/>
      <c r="I5" s="2"/>
      <c r="J5" s="2"/>
      <c r="K5" s="2"/>
      <c r="L5" s="2"/>
      <c r="M5" s="2"/>
      <c r="N5" s="2"/>
    </row>
    <row r="6" customFormat="false" ht="12.1" hidden="false" customHeight="true" outlineLevel="0" collapsed="false">
      <c r="J6" s="0" t="s">
        <v>3</v>
      </c>
    </row>
    <row r="7" customFormat="false" ht="12.1" hidden="false" customHeight="true" outlineLevel="0" collapsed="false">
      <c r="G7" s="3" t="s">
        <v>4</v>
      </c>
      <c r="H7" s="3"/>
    </row>
    <row r="8" customFormat="false" ht="16.9" hidden="false" customHeight="true" outlineLevel="0" collapsed="false">
      <c r="A8" s="4"/>
      <c r="B8" s="5" t="s">
        <v>5</v>
      </c>
      <c r="C8" s="6" t="s">
        <v>6</v>
      </c>
      <c r="G8" s="0" t="s">
        <v>7</v>
      </c>
      <c r="H8" s="0" t="n">
        <f aca="false">K10*60*60/100^2</f>
        <v>3.5208</v>
      </c>
      <c r="J8" s="4"/>
      <c r="K8" s="7" t="s">
        <v>8</v>
      </c>
      <c r="L8" s="8"/>
      <c r="M8" s="8"/>
      <c r="N8" s="9"/>
    </row>
    <row r="9" customFormat="false" ht="16.9" hidden="false" customHeight="true" outlineLevel="0" collapsed="false">
      <c r="A9" s="10" t="s">
        <v>9</v>
      </c>
      <c r="B9" s="11" t="n">
        <f aca="false">3.9797*10^(-6)</f>
        <v>3.9797E-006</v>
      </c>
      <c r="C9" s="12" t="n">
        <f aca="false">+B9*24*365*100^2</f>
        <v>348.62172</v>
      </c>
      <c r="E9" s="0" t="n">
        <f aca="false">+C11/365/24/60/60</f>
        <v>9.78E-006</v>
      </c>
      <c r="G9" s="0" t="s">
        <v>10</v>
      </c>
      <c r="H9" s="11" t="n">
        <f aca="false">+3.6*60*60/100^2</f>
        <v>1.296</v>
      </c>
      <c r="J9" s="13" t="s">
        <v>11</v>
      </c>
      <c r="K9" s="0" t="n">
        <v>0</v>
      </c>
      <c r="L9" s="0" t="n">
        <v>18</v>
      </c>
      <c r="M9" s="0" t="n">
        <v>25</v>
      </c>
      <c r="N9" s="14"/>
    </row>
    <row r="10" customFormat="false" ht="16.9" hidden="false" customHeight="true" outlineLevel="0" collapsed="false">
      <c r="A10" s="10" t="s">
        <v>12</v>
      </c>
      <c r="B10" s="11" t="n">
        <f aca="false">+0.1608*10^(-6)</f>
        <v>1.608E-007</v>
      </c>
      <c r="C10" s="15" t="n">
        <f aca="false">+B10*24*365*100^2</f>
        <v>14.08608</v>
      </c>
      <c r="G10" s="0" t="s">
        <v>13</v>
      </c>
      <c r="H10" s="0" t="n">
        <f aca="false">K18*60*60/100^2</f>
        <v>1.8</v>
      </c>
      <c r="J10" s="13"/>
      <c r="K10" s="0" t="n">
        <v>9.78</v>
      </c>
      <c r="L10" s="0" t="n">
        <v>16.1</v>
      </c>
      <c r="M10" s="0" t="n">
        <v>19</v>
      </c>
      <c r="N10" s="14"/>
    </row>
    <row r="11" customFormat="false" ht="16.9" hidden="false" customHeight="true" outlineLevel="0" collapsed="false">
      <c r="A11" s="10" t="s">
        <v>14</v>
      </c>
      <c r="B11" s="11" t="n">
        <f aca="false">3.5208*10^(-6)</f>
        <v>3.5208E-006</v>
      </c>
      <c r="C11" s="12" t="n">
        <f aca="false">+B11*24*365*100^2</f>
        <v>308.42208</v>
      </c>
      <c r="G11" s="0" t="s">
        <v>15</v>
      </c>
      <c r="H11" s="11" t="n">
        <f aca="false">K28*60*60/100^2</f>
        <v>3.51</v>
      </c>
      <c r="J11" s="13" t="s">
        <v>16</v>
      </c>
      <c r="L11" s="0" t="n">
        <f aca="false">(L10-K10)/18</f>
        <v>0.351111111111111</v>
      </c>
      <c r="M11" s="0" t="n">
        <f aca="false">(M10-K10)/25</f>
        <v>0.3688</v>
      </c>
      <c r="N11" s="14"/>
    </row>
    <row r="12" customFormat="false" ht="16.9" hidden="false" customHeight="true" outlineLevel="0" collapsed="false">
      <c r="A12" s="10" t="s">
        <v>17</v>
      </c>
      <c r="B12" s="0" t="n">
        <f aca="false">+0.14*10^(-6)</f>
        <v>1.4E-007</v>
      </c>
      <c r="C12" s="12" t="n">
        <f aca="false">+B12*24*365*100^2</f>
        <v>12.264</v>
      </c>
      <c r="G12" s="0" t="s">
        <v>18</v>
      </c>
      <c r="H12" s="11" t="n">
        <f aca="false">K38*60*60/100^2</f>
        <v>3.528</v>
      </c>
      <c r="J12" s="13"/>
      <c r="M12" s="0" t="n">
        <f aca="false">(M10-L10)/(M9-L9)</f>
        <v>0.414285714285714</v>
      </c>
      <c r="N12" s="14"/>
    </row>
    <row r="13" customFormat="false" ht="16.9" hidden="false" customHeight="true" outlineLevel="0" collapsed="false">
      <c r="A13" s="10" t="s">
        <v>19</v>
      </c>
      <c r="B13" s="11" t="n">
        <f aca="false">1.2889*10^(-6)</f>
        <v>1.2889E-006</v>
      </c>
      <c r="C13" s="12" t="n">
        <f aca="false">+B13*24*365*100^2</f>
        <v>112.90764</v>
      </c>
      <c r="D13" s="0" t="s">
        <v>20</v>
      </c>
      <c r="G13" s="0" t="s">
        <v>21</v>
      </c>
      <c r="J13" s="13" t="s">
        <v>22</v>
      </c>
      <c r="K13" s="16"/>
      <c r="L13" s="16" t="n">
        <f aca="false">+L11*60^2/100^2</f>
        <v>0.1264</v>
      </c>
      <c r="M13" s="16" t="n">
        <f aca="false">+M11*60^2/100^2</f>
        <v>0.132768</v>
      </c>
      <c r="N13" s="14" t="n">
        <f aca="false">+M12*60^2/100^2</f>
        <v>0.149142857142857</v>
      </c>
    </row>
    <row r="14" customFormat="false" ht="16.9" hidden="false" customHeight="true" outlineLevel="0" collapsed="false">
      <c r="A14" s="10" t="s">
        <v>23</v>
      </c>
      <c r="B14" s="11" t="n">
        <f aca="false">+0.06377*10^(-6)</f>
        <v>6.377E-008</v>
      </c>
      <c r="C14" s="12" t="n">
        <f aca="false">+B14*24*365*100^2</f>
        <v>5.586252</v>
      </c>
      <c r="D14" s="0" t="s">
        <v>20</v>
      </c>
      <c r="J14" s="17"/>
      <c r="K14" s="18" t="n">
        <f aca="false">AVERAGE(M13:N13)</f>
        <v>0.140955428571429</v>
      </c>
      <c r="L14" s="18"/>
      <c r="M14" s="18"/>
      <c r="N14" s="19"/>
    </row>
    <row r="15" customFormat="false" ht="16.9" hidden="false" customHeight="true" outlineLevel="0" collapsed="false">
      <c r="A15" s="10" t="s">
        <v>24</v>
      </c>
      <c r="B15" s="0" t="n">
        <f aca="false">H10*10^(-6)</f>
        <v>1.8E-006</v>
      </c>
      <c r="C15" s="12" t="n">
        <f aca="false">+B15*24*365*100^2</f>
        <v>157.68</v>
      </c>
      <c r="G15" s="20" t="s">
        <v>25</v>
      </c>
      <c r="H15" s="20"/>
    </row>
    <row r="16" customFormat="false" ht="16.9" hidden="false" customHeight="true" outlineLevel="0" collapsed="false">
      <c r="A16" s="10" t="s">
        <v>26</v>
      </c>
      <c r="B16" s="0" t="n">
        <f aca="false">K23*10^(-6)</f>
        <v>9E-008</v>
      </c>
      <c r="C16" s="12" t="n">
        <f aca="false">+B16*24*365*100^2</f>
        <v>7.884</v>
      </c>
      <c r="G16" s="0" t="s">
        <v>21</v>
      </c>
      <c r="H16" s="0" t="n">
        <f aca="false">+11.8*60*60/100^2</f>
        <v>4.248</v>
      </c>
      <c r="J16" s="4"/>
      <c r="K16" s="7" t="s">
        <v>13</v>
      </c>
      <c r="L16" s="8"/>
      <c r="M16" s="8"/>
      <c r="N16" s="9"/>
    </row>
    <row r="17" customFormat="false" ht="16.9" hidden="false" customHeight="true" outlineLevel="0" collapsed="false">
      <c r="A17" s="10" t="s">
        <v>27</v>
      </c>
      <c r="B17" s="0" t="n">
        <f aca="false">H11*10^(-6)</f>
        <v>3.51E-006</v>
      </c>
      <c r="C17" s="21" t="n">
        <f aca="false">+B17*24*365*100^2</f>
        <v>307.476</v>
      </c>
      <c r="J17" s="13" t="s">
        <v>11</v>
      </c>
      <c r="K17" s="0" t="n">
        <v>0</v>
      </c>
      <c r="L17" s="0" t="n">
        <v>18</v>
      </c>
      <c r="M17" s="0" t="n">
        <v>25</v>
      </c>
      <c r="N17" s="14"/>
    </row>
    <row r="18" customFormat="false" ht="16.9" hidden="false" customHeight="true" outlineLevel="0" collapsed="false">
      <c r="A18" s="22" t="s">
        <v>28</v>
      </c>
      <c r="B18" s="23" t="n">
        <f aca="false">K33*10^(-6)</f>
        <v>1.1E-007</v>
      </c>
      <c r="C18" s="12" t="n">
        <f aca="false">+B18*24*365*100^2</f>
        <v>9.636</v>
      </c>
      <c r="J18" s="13"/>
      <c r="K18" s="0" t="n">
        <v>5</v>
      </c>
      <c r="L18" s="0" t="n">
        <v>8.9</v>
      </c>
      <c r="M18" s="0" t="n">
        <v>10.7</v>
      </c>
      <c r="N18" s="14"/>
    </row>
    <row r="19" customFormat="false" ht="17.35" hidden="false" customHeight="false" outlineLevel="0" collapsed="false">
      <c r="A19" s="10" t="s">
        <v>29</v>
      </c>
      <c r="B19" s="0" t="n">
        <f aca="false">H12*10^(-6)</f>
        <v>3.528E-006</v>
      </c>
      <c r="C19" s="12" t="n">
        <f aca="false">+B19*24*365*100^2</f>
        <v>309.0528</v>
      </c>
      <c r="E19" s="24"/>
      <c r="J19" s="13" t="s">
        <v>16</v>
      </c>
      <c r="L19" s="0" t="n">
        <f aca="false">(L18-K18)/18</f>
        <v>0.216666666666667</v>
      </c>
      <c r="M19" s="0" t="n">
        <f aca="false">(M18-K18)/25</f>
        <v>0.228</v>
      </c>
      <c r="N19" s="14"/>
    </row>
    <row r="20" customFormat="false" ht="17.35" hidden="false" customHeight="false" outlineLevel="0" collapsed="false">
      <c r="A20" s="25" t="s">
        <v>30</v>
      </c>
      <c r="B20" s="0" t="n">
        <f aca="false">K42*10^(-6)</f>
        <v>1.78765714285714E-007</v>
      </c>
      <c r="C20" s="12" t="n">
        <f aca="false">+B20*24*365*100^2</f>
        <v>15.6598765714286</v>
      </c>
      <c r="D20" s="0" t="s">
        <v>31</v>
      </c>
      <c r="J20" s="13"/>
      <c r="M20" s="0" t="n">
        <f aca="false">(M18-L18)/(M17-L17)</f>
        <v>0.257142857142857</v>
      </c>
      <c r="N20" s="14"/>
    </row>
    <row r="21" customFormat="false" ht="17.35" hidden="false" customHeight="false" outlineLevel="0" collapsed="false">
      <c r="A21" s="25" t="s">
        <v>30</v>
      </c>
      <c r="B21" s="0" t="n">
        <f aca="false">+0.14*10^(-6)</f>
        <v>1.4E-007</v>
      </c>
      <c r="C21" s="12" t="n">
        <f aca="false">+B21*24*365*100^2</f>
        <v>12.264</v>
      </c>
      <c r="D21" s="0" t="s">
        <v>20</v>
      </c>
      <c r="J21" s="13" t="s">
        <v>32</v>
      </c>
      <c r="K21" s="16"/>
      <c r="L21" s="16" t="n">
        <f aca="false">+L19*60^2/100^2</f>
        <v>0.078</v>
      </c>
      <c r="M21" s="16" t="n">
        <f aca="false">+M19*60^2/100^2</f>
        <v>0.08208</v>
      </c>
      <c r="N21" s="14" t="n">
        <f aca="false">+M20*60^2/100^2</f>
        <v>0.0925714285714285</v>
      </c>
    </row>
    <row r="22" customFormat="false" ht="12.1" hidden="false" customHeight="true" outlineLevel="0" collapsed="false">
      <c r="J22" s="17"/>
      <c r="K22" s="18" t="n">
        <f aca="false">AVERAGE(M21:N21)</f>
        <v>0.0873257142857143</v>
      </c>
      <c r="L22" s="18"/>
      <c r="M22" s="18"/>
      <c r="N22" s="19"/>
    </row>
    <row r="23" customFormat="false" ht="14.5" hidden="false" customHeight="true" outlineLevel="0" collapsed="false">
      <c r="A23" s="26" t="s">
        <v>33</v>
      </c>
      <c r="J23" s="27" t="s">
        <v>34</v>
      </c>
      <c r="K23" s="28" t="n">
        <v>0.09</v>
      </c>
    </row>
    <row r="24" customFormat="false" ht="17.35" hidden="false" customHeight="false" outlineLevel="0" collapsed="false">
      <c r="A24" s="25" t="s">
        <v>35</v>
      </c>
      <c r="C24" s="25" t="n">
        <f aca="false">AVERAGE(C19,C17)</f>
        <v>308.2644</v>
      </c>
      <c r="D24" s="0" t="s">
        <v>36</v>
      </c>
    </row>
    <row r="25" customFormat="false" ht="17.35" hidden="false" customHeight="false" outlineLevel="0" collapsed="false">
      <c r="A25" s="25" t="s">
        <v>37</v>
      </c>
      <c r="C25" s="25" t="n">
        <f aca="false">AVERAGE(C21,C18)</f>
        <v>10.95</v>
      </c>
      <c r="D25" s="0" t="s">
        <v>38</v>
      </c>
    </row>
    <row r="26" customFormat="false" ht="15" hidden="false" customHeight="false" outlineLevel="0" collapsed="false">
      <c r="C26" s="29"/>
      <c r="J26" s="4"/>
      <c r="K26" s="7" t="s">
        <v>15</v>
      </c>
      <c r="L26" s="8"/>
      <c r="M26" s="8"/>
      <c r="N26" s="9"/>
    </row>
    <row r="27" customFormat="false" ht="17.35" hidden="false" customHeight="false" outlineLevel="0" collapsed="false">
      <c r="A27" s="26" t="s">
        <v>39</v>
      </c>
      <c r="B27" s="0" t="s">
        <v>40</v>
      </c>
      <c r="C27" s="29"/>
      <c r="J27" s="13" t="s">
        <v>11</v>
      </c>
      <c r="K27" s="0" t="n">
        <v>0</v>
      </c>
      <c r="L27" s="0" t="n">
        <v>18</v>
      </c>
      <c r="M27" s="0" t="n">
        <v>25</v>
      </c>
      <c r="N27" s="14"/>
    </row>
    <row r="28" customFormat="false" ht="12.8" hidden="false" customHeight="false" outlineLevel="0" collapsed="false">
      <c r="B28" s="0" t="s">
        <v>41</v>
      </c>
      <c r="J28" s="13"/>
      <c r="K28" s="0" t="n">
        <v>9.75</v>
      </c>
      <c r="L28" s="0" t="n">
        <v>14.8</v>
      </c>
      <c r="M28" s="0" t="n">
        <v>17.3</v>
      </c>
      <c r="N28" s="14"/>
    </row>
    <row r="29" customFormat="false" ht="15" hidden="false" customHeight="false" outlineLevel="0" collapsed="false">
      <c r="A29" s="30" t="s">
        <v>42</v>
      </c>
      <c r="B29" s="30" t="n">
        <f aca="false">H16*10^(-6)</f>
        <v>4.248E-006</v>
      </c>
      <c r="C29" s="31" t="n">
        <f aca="false">+B29*24*365*100^2</f>
        <v>372.1248</v>
      </c>
      <c r="F29" s="29"/>
      <c r="J29" s="13" t="s">
        <v>16</v>
      </c>
      <c r="L29" s="0" t="n">
        <f aca="false">(L28-K28)/18</f>
        <v>0.280555555555556</v>
      </c>
      <c r="M29" s="0" t="n">
        <f aca="false">(M28-K28)/25</f>
        <v>0.302</v>
      </c>
      <c r="N29" s="14"/>
    </row>
    <row r="30" customFormat="false" ht="17.35" hidden="false" customHeight="false" outlineLevel="0" collapsed="false">
      <c r="A30" s="25" t="s">
        <v>43</v>
      </c>
      <c r="B30" s="25"/>
      <c r="C30" s="25" t="n">
        <f aca="false">C29-25*C31</f>
        <v>65.5248</v>
      </c>
      <c r="F30" s="29"/>
      <c r="J30" s="13"/>
      <c r="M30" s="0" t="n">
        <f aca="false">(M28-L28)/(M27-L27)</f>
        <v>0.357142857142857</v>
      </c>
      <c r="N30" s="14"/>
    </row>
    <row r="31" customFormat="false" ht="17.35" hidden="false" customHeight="false" outlineLevel="0" collapsed="false">
      <c r="A31" s="25" t="s">
        <v>44</v>
      </c>
      <c r="B31" s="25"/>
      <c r="C31" s="25" t="n">
        <f aca="false">C12</f>
        <v>12.264</v>
      </c>
      <c r="J31" s="13" t="s">
        <v>32</v>
      </c>
      <c r="K31" s="16"/>
      <c r="L31" s="16" t="n">
        <f aca="false">+L29*60^2/100^2</f>
        <v>0.101</v>
      </c>
      <c r="M31" s="16" t="n">
        <f aca="false">+M29*60^2/100^2</f>
        <v>0.10872</v>
      </c>
      <c r="N31" s="14" t="n">
        <f aca="false">+M30*60^2/100^2</f>
        <v>0.128571428571429</v>
      </c>
    </row>
    <row r="32" customFormat="false" ht="12.1" hidden="false" customHeight="false" outlineLevel="0" collapsed="false">
      <c r="J32" s="17"/>
      <c r="K32" s="18" t="n">
        <f aca="false">AVERAGE(M31:N31)</f>
        <v>0.118645714285714</v>
      </c>
      <c r="L32" s="18"/>
      <c r="M32" s="18"/>
      <c r="N32" s="19"/>
    </row>
    <row r="33" customFormat="false" ht="14.5" hidden="false" customHeight="false" outlineLevel="0" collapsed="false">
      <c r="J33" s="27" t="s">
        <v>34</v>
      </c>
      <c r="K33" s="28" t="n">
        <v>0.11</v>
      </c>
    </row>
    <row r="36" customFormat="false" ht="15" hidden="false" customHeight="false" outlineLevel="0" collapsed="false">
      <c r="J36" s="4"/>
      <c r="K36" s="7" t="s">
        <v>18</v>
      </c>
      <c r="L36" s="8"/>
      <c r="M36" s="8"/>
      <c r="N36" s="9"/>
    </row>
    <row r="37" customFormat="false" ht="12.8" hidden="false" customHeight="false" outlineLevel="0" collapsed="false">
      <c r="J37" s="13" t="s">
        <v>11</v>
      </c>
      <c r="K37" s="0" t="n">
        <v>0</v>
      </c>
      <c r="L37" s="0" t="n">
        <v>18</v>
      </c>
      <c r="M37" s="0" t="n">
        <v>25</v>
      </c>
      <c r="N37" s="14"/>
    </row>
    <row r="38" customFormat="false" ht="12.8" hidden="false" customHeight="false" outlineLevel="0" collapsed="false">
      <c r="J38" s="13"/>
      <c r="K38" s="0" t="n">
        <v>9.8</v>
      </c>
      <c r="L38" s="0" t="n">
        <v>16.8</v>
      </c>
      <c r="M38" s="0" t="n">
        <v>20.7</v>
      </c>
      <c r="N38" s="14"/>
    </row>
    <row r="39" customFormat="false" ht="12.8" hidden="false" customHeight="false" outlineLevel="0" collapsed="false">
      <c r="J39" s="13" t="s">
        <v>16</v>
      </c>
      <c r="L39" s="0" t="n">
        <f aca="false">(L38-K38)/18</f>
        <v>0.388888888888889</v>
      </c>
      <c r="M39" s="0" t="n">
        <f aca="false">(M38-K38)/25</f>
        <v>0.436</v>
      </c>
      <c r="N39" s="14"/>
    </row>
    <row r="40" customFormat="false" ht="12.8" hidden="false" customHeight="false" outlineLevel="0" collapsed="false">
      <c r="J40" s="13"/>
      <c r="M40" s="0" t="n">
        <f aca="false">(M38-L38)/(M37-L37)</f>
        <v>0.557142857142857</v>
      </c>
      <c r="N40" s="14"/>
    </row>
    <row r="41" customFormat="false" ht="12.8" hidden="false" customHeight="false" outlineLevel="0" collapsed="false">
      <c r="J41" s="13" t="s">
        <v>22</v>
      </c>
      <c r="K41" s="16"/>
      <c r="L41" s="16" t="n">
        <f aca="false">+L39*60^2/100^2</f>
        <v>0.14</v>
      </c>
      <c r="M41" s="16" t="n">
        <f aca="false">+M39*60^2/100^2</f>
        <v>0.15696</v>
      </c>
      <c r="N41" s="14" t="n">
        <f aca="false">+M40*60^2/100^2</f>
        <v>0.200571428571428</v>
      </c>
    </row>
    <row r="42" customFormat="false" ht="12.8" hidden="false" customHeight="false" outlineLevel="0" collapsed="false">
      <c r="J42" s="17"/>
      <c r="K42" s="18" t="n">
        <f aca="false">AVERAGE(M41:N41)</f>
        <v>0.178765714285714</v>
      </c>
      <c r="L42" s="18"/>
      <c r="M42" s="18"/>
      <c r="N42" s="19"/>
    </row>
  </sheetData>
  <mergeCells count="3">
    <mergeCell ref="G5:N5"/>
    <mergeCell ref="G7:H7"/>
    <mergeCell ref="G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88775510204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88775510204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2016-02-15T15:06:34Z</dcterms:created>
  <dc:creator>Dominik Huelse</dc:creator>
  <dc:language>en-GB</dc:language>
  <cp:revision>0</cp:revision>
</cp:coreProperties>
</file>