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<sst xmlns="http://schemas.openxmlformats.org/spreadsheetml/2006/main" count="98" uniqueCount="59">
  <si>
    <t>Schulz 2006</t>
  </si>
  <si>
    <t>Parameters used to calculate diffusion coefficients</t>
  </si>
  <si>
    <t>compare Gypens et al. (2008)</t>
  </si>
  <si>
    <t>in cm2/yr</t>
  </si>
  <si>
    <t>in cm2/sec</t>
  </si>
  <si>
    <t>in m2/sec</t>
  </si>
  <si>
    <t>values from Li and Gregory (1974)</t>
  </si>
  <si>
    <t>calculate linear coefficient</t>
  </si>
  <si>
    <t>O2</t>
  </si>
  <si>
    <t>D at 0</t>
  </si>
  <si>
    <t>linear coeff</t>
  </si>
  <si>
    <t>m^2/h</t>
  </si>
  <si>
    <t>cm^2/yr</t>
  </si>
  <si>
    <t>NO3/NH4</t>
  </si>
  <si>
    <t>NO3</t>
  </si>
  <si>
    <t>D0O2</t>
  </si>
  <si>
    <t>PO4</t>
  </si>
  <si>
    <t>degree C</t>
  </si>
  <si>
    <t>aO2</t>
  </si>
  <si>
    <t>SO4</t>
  </si>
  <si>
    <t>NH4</t>
  </si>
  <si>
    <t>D0NO3</t>
  </si>
  <si>
    <t>H2S</t>
  </si>
  <si>
    <t>aNO3</t>
  </si>
  <si>
    <t>D0PO4</t>
  </si>
  <si>
    <t>Gypens</t>
  </si>
  <si>
    <t>DIC</t>
  </si>
  <si>
    <t>in Gypens language (a is 0.14)</t>
  </si>
  <si>
    <t>aPO4</t>
  </si>
  <si>
    <t>H2S/HS-</t>
  </si>
  <si>
    <t>D0SO4</t>
  </si>
  <si>
    <t>D at 25°</t>
  </si>
  <si>
    <t>aSO4</t>
  </si>
  <si>
    <t>D0H2S</t>
  </si>
  <si>
    <t>aH2S</t>
  </si>
  <si>
    <t>HCO 3-</t>
  </si>
  <si>
    <t>D0NH4</t>
  </si>
  <si>
    <t>aNH4</t>
  </si>
  <si>
    <t>Li &amp; Gregory</t>
  </si>
  <si>
    <t>CO 3 2-</t>
  </si>
  <si>
    <t>in Gypens language</t>
  </si>
  <si>
    <t>CO 2</t>
  </si>
  <si>
    <t>D0DIC/ALK</t>
  </si>
  <si>
    <t>Take</t>
  </si>
  <si>
    <t>aDIC/ALK</t>
  </si>
  <si>
    <t>DIC (MEAN of above)</t>
  </si>
  <si>
    <t>ALK</t>
  </si>
  <si>
    <t>DIC use from SCHULZ&amp;ZABEL book (see left)</t>
  </si>
  <si>
    <t>lin. Coeff DIC</t>
  </si>
  <si>
    <t>ALKALINTY as 2well</t>
  </si>
  <si>
    <t>old stuff:</t>
  </si>
  <si>
    <t>D25DIC</t>
  </si>
  <si>
    <t>D0DIC</t>
  </si>
  <si>
    <t>aDIC</t>
  </si>
  <si>
    <t>ALKALINTY  USE MEAN(NH4,H2S)</t>
  </si>
  <si>
    <t>D0ALK</t>
  </si>
  <si>
    <t>before I used NH4 value, does not make a big difference at all!</t>
  </si>
  <si>
    <t>aALK</t>
  </si>
  <si>
    <t>before I used NH4 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</si>
</sst>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0"/>
    <numFmt numFmtId="166" formatCode="0.00000"/>
    <numFmt numFmtId="167" formatCode="0.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3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R28" activeCellId="0" sqref="R28"/>
    </sheetView>
  </sheetViews>
  <sheetFormatPr defaultRowHeight="12.8"/>
  <cols>
    <col collapsed="false" hidden="false" max="2" min="1" style="0" width="11.6887755102041"/>
    <col collapsed="false" hidden="false" max="3" min="3" style="0" width="13.6632653061225"/>
    <col collapsed="false" hidden="false" max="9" min="4" style="0" width="11.6887755102041"/>
    <col collapsed="false" hidden="false" max="10" min="10" style="0" width="18.8010204081633"/>
    <col collapsed="false" hidden="false" max="15" min="11" style="0" width="11.6887755102041"/>
    <col collapsed="false" hidden="false" max="16" min="16" style="0" width="19.6887755102041"/>
    <col collapsed="false" hidden="false" max="17" min="17" style="0" width="12.7448979591837"/>
    <col collapsed="false" hidden="false" max="1025" min="18" style="0" width="11.6887755102041"/>
  </cols>
  <sheetData>
    <row r="2" customFormat="false" ht="17.35" hidden="false" customHeight="false" outlineLevel="0" collapsed="false">
      <c r="X2" s="1" t="s">
        <v>0</v>
      </c>
    </row>
    <row r="3" customFormat="false" ht="14.5" hidden="false" customHeight="true" outlineLevel="0" collapsed="false">
      <c r="A3" s="2" t="s">
        <v>1</v>
      </c>
    </row>
    <row r="4" customFormat="false" ht="17.35" hidden="false" customHeight="false" outlineLevel="0" collapsed="false">
      <c r="A4" s="0" t="s">
        <v>2</v>
      </c>
      <c r="P4" s="1" t="s">
        <v>0</v>
      </c>
      <c r="Q4" s="0" t="s">
        <v>3</v>
      </c>
      <c r="Y4" s="0" t="s">
        <v>4</v>
      </c>
      <c r="AG4" s="0" t="s">
        <v>5</v>
      </c>
    </row>
    <row r="5" customFormat="false" ht="13.3" hidden="false" customHeight="true" outlineLevel="0" collapsed="false">
      <c r="G5" s="3" t="s">
        <v>6</v>
      </c>
      <c r="H5" s="3"/>
      <c r="I5" s="3"/>
      <c r="J5" s="3"/>
      <c r="K5" s="3"/>
      <c r="L5" s="3"/>
      <c r="M5" s="3"/>
      <c r="N5" s="3"/>
      <c r="Q5" s="4" t="n">
        <v>0</v>
      </c>
      <c r="R5" s="4" t="n">
        <v>5</v>
      </c>
      <c r="S5" s="4" t="n">
        <v>10</v>
      </c>
      <c r="T5" s="4" t="n">
        <v>15</v>
      </c>
      <c r="U5" s="4" t="n">
        <v>20</v>
      </c>
      <c r="V5" s="4" t="n">
        <v>25</v>
      </c>
      <c r="W5" s="4"/>
      <c r="Y5" s="4" t="n">
        <v>0</v>
      </c>
      <c r="Z5" s="4" t="n">
        <v>5</v>
      </c>
      <c r="AA5" s="4" t="n">
        <v>10</v>
      </c>
      <c r="AB5" s="4" t="n">
        <v>15</v>
      </c>
      <c r="AC5" s="4" t="n">
        <v>20</v>
      </c>
      <c r="AD5" s="4" t="n">
        <v>25</v>
      </c>
      <c r="AG5" s="4" t="n">
        <v>0</v>
      </c>
      <c r="AH5" s="4" t="n">
        <v>5</v>
      </c>
      <c r="AI5" s="4" t="n">
        <v>10</v>
      </c>
      <c r="AJ5" s="4" t="n">
        <v>15</v>
      </c>
      <c r="AK5" s="4" t="n">
        <v>20</v>
      </c>
      <c r="AL5" s="4" t="n">
        <v>25</v>
      </c>
    </row>
    <row r="6" customFormat="false" ht="12.1" hidden="false" customHeight="true" outlineLevel="0" collapsed="false">
      <c r="J6" s="0" t="s">
        <v>7</v>
      </c>
      <c r="P6" s="0" t="s">
        <v>8</v>
      </c>
      <c r="Q6" s="0" t="n">
        <f aca="false">Y6*60*60*24*365</f>
        <v>315.36</v>
      </c>
      <c r="R6" s="0" t="n">
        <f aca="false">Z6*60*60*24*365</f>
        <v>387.8928</v>
      </c>
      <c r="S6" s="0" t="n">
        <f aca="false">AA6*60*60*24*365</f>
        <v>460.4256</v>
      </c>
      <c r="T6" s="0" t="n">
        <f aca="false">AB6*60*60*24*365</f>
        <v>532.9584</v>
      </c>
      <c r="U6" s="0" t="n">
        <f aca="false">AC6*60*60*24*365</f>
        <v>602.3376</v>
      </c>
      <c r="V6" s="0" t="n">
        <f aca="false">AD6*60*60*24*365</f>
        <v>671.7168</v>
      </c>
      <c r="X6" s="0" t="s">
        <v>8</v>
      </c>
      <c r="Y6" s="5" t="n">
        <f aca="false">AG6*10^{4}</f>
        <v>1E-005</v>
      </c>
      <c r="Z6" s="5" t="n">
        <f aca="false">AH6*10^{4}</f>
        <v>1.23E-005</v>
      </c>
      <c r="AA6" s="5" t="n">
        <f aca="false">AI6*10^{4}</f>
        <v>1.46E-005</v>
      </c>
      <c r="AB6" s="5" t="n">
        <f aca="false">AJ6*10^{4}</f>
        <v>1.69E-005</v>
      </c>
      <c r="AC6" s="5" t="n">
        <f aca="false">AK6*10^{4}</f>
        <v>1.91E-005</v>
      </c>
      <c r="AD6" s="5" t="n">
        <f aca="false">AL6*10^{4}</f>
        <v>2.13E-005</v>
      </c>
      <c r="AF6" s="0" t="s">
        <v>8</v>
      </c>
      <c r="AG6" s="5" t="n">
        <v>1E-009</v>
      </c>
      <c r="AH6" s="5" t="n">
        <v>1.23E-009</v>
      </c>
      <c r="AI6" s="5" t="n">
        <v>1.46E-009</v>
      </c>
      <c r="AJ6" s="5" t="n">
        <v>1.69E-009</v>
      </c>
      <c r="AK6" s="5" t="n">
        <v>1.91E-009</v>
      </c>
      <c r="AL6" s="5" t="n">
        <v>2.13E-009</v>
      </c>
    </row>
    <row r="7" customFormat="false" ht="12.1" hidden="false" customHeight="true" outlineLevel="0" collapsed="false">
      <c r="G7" s="6" t="s">
        <v>9</v>
      </c>
      <c r="H7" s="6"/>
      <c r="P7" s="7" t="s">
        <v>10</v>
      </c>
      <c r="R7" s="0" t="n">
        <f aca="false">(R6-Q6)/5</f>
        <v>14.50656</v>
      </c>
      <c r="S7" s="0" t="n">
        <f aca="false">(S6-R6)/5</f>
        <v>14.50656</v>
      </c>
      <c r="T7" s="0" t="n">
        <f aca="false">(T6-S6)/5</f>
        <v>14.50656</v>
      </c>
      <c r="U7" s="0" t="n">
        <f aca="false">(U6-T6)/5</f>
        <v>13.87584</v>
      </c>
      <c r="V7" s="0" t="n">
        <f aca="false">(V6-U6)/5</f>
        <v>13.87584</v>
      </c>
      <c r="X7" s="7" t="s">
        <v>10</v>
      </c>
      <c r="Z7" s="0" t="n">
        <f aca="false">(Z6-Y6)/5</f>
        <v>4.6E-007</v>
      </c>
      <c r="AA7" s="0" t="n">
        <f aca="false">(AA6-Z6)/5</f>
        <v>4.6E-007</v>
      </c>
      <c r="AB7" s="0" t="n">
        <f aca="false">(AB6-AA6)/5</f>
        <v>4.6E-007</v>
      </c>
      <c r="AC7" s="0" t="n">
        <f aca="false">(AC6-AB6)/5</f>
        <v>4.40000000000001E-007</v>
      </c>
      <c r="AD7" s="0" t="n">
        <f aca="false">(AD6-AC6)/5</f>
        <v>4.39999999999999E-007</v>
      </c>
      <c r="AF7" s="7" t="s">
        <v>10</v>
      </c>
      <c r="AH7" s="0" t="n">
        <f aca="false">(AH6-AG6)/5</f>
        <v>4.6E-011</v>
      </c>
      <c r="AI7" s="0" t="n">
        <f aca="false">(AI6-AH6)/5</f>
        <v>4.6E-011</v>
      </c>
      <c r="AJ7" s="0" t="n">
        <f aca="false">(AJ6-AI6)/5</f>
        <v>4.6E-011</v>
      </c>
      <c r="AK7" s="0" t="n">
        <f aca="false">(AK6-AJ6)/5</f>
        <v>4.40000000000001E-011</v>
      </c>
      <c r="AL7" s="0" t="n">
        <f aca="false">(AL6-AK6)/5</f>
        <v>4.39999999999999E-011</v>
      </c>
    </row>
    <row r="8" customFormat="false" ht="16.9" hidden="false" customHeight="true" outlineLevel="0" collapsed="false">
      <c r="A8" s="8"/>
      <c r="B8" s="9" t="s">
        <v>11</v>
      </c>
      <c r="C8" s="10" t="s">
        <v>12</v>
      </c>
      <c r="G8" s="0" t="s">
        <v>13</v>
      </c>
      <c r="H8" s="0" t="n">
        <f aca="false">K10*60*60/100^2</f>
        <v>3.5208</v>
      </c>
      <c r="J8" s="8"/>
      <c r="K8" s="11" t="s">
        <v>14</v>
      </c>
      <c r="L8" s="12"/>
      <c r="M8" s="12"/>
      <c r="N8" s="13"/>
      <c r="P8" s="0" t="s">
        <v>14</v>
      </c>
      <c r="Q8" s="0" t="n">
        <f aca="false">Y8*60*60*24*365</f>
        <v>284.77008</v>
      </c>
      <c r="R8" s="0" t="n">
        <f aca="false">Z8*60*60*24*365</f>
        <v>340.5888</v>
      </c>
      <c r="S8" s="0" t="n">
        <f aca="false">AA8*60*60*24*365</f>
        <v>397.3536</v>
      </c>
      <c r="T8" s="0" t="n">
        <f aca="false">AB8*60*60*24*365</f>
        <v>454.1184</v>
      </c>
      <c r="U8" s="0" t="n">
        <f aca="false">AC8*60*60*24*365</f>
        <v>510.8832</v>
      </c>
      <c r="V8" s="0" t="n">
        <f aca="false">AD8*60*60*24*365</f>
        <v>564.4944</v>
      </c>
      <c r="X8" s="0" t="s">
        <v>14</v>
      </c>
      <c r="Y8" s="5" t="n">
        <f aca="false">AG8*10^{4}</f>
        <v>9.03E-006</v>
      </c>
      <c r="Z8" s="5" t="n">
        <f aca="false">AH8*10^{4}</f>
        <v>1.08E-005</v>
      </c>
      <c r="AA8" s="5" t="n">
        <f aca="false">AI8*10^{4}</f>
        <v>1.26E-005</v>
      </c>
      <c r="AB8" s="5" t="n">
        <f aca="false">AJ8*10^{4}</f>
        <v>1.44E-005</v>
      </c>
      <c r="AC8" s="5" t="n">
        <f aca="false">AK8*10^{4}</f>
        <v>1.62E-005</v>
      </c>
      <c r="AD8" s="5" t="n">
        <f aca="false">AL8*10^{4}</f>
        <v>1.79E-005</v>
      </c>
      <c r="AF8" s="0" t="s">
        <v>14</v>
      </c>
      <c r="AG8" s="5" t="n">
        <v>9.03E-010</v>
      </c>
      <c r="AH8" s="5" t="n">
        <v>1.08E-009</v>
      </c>
      <c r="AI8" s="5" t="n">
        <v>1.26E-009</v>
      </c>
      <c r="AJ8" s="5" t="n">
        <v>1.44E-009</v>
      </c>
      <c r="AK8" s="5" t="n">
        <v>1.62E-009</v>
      </c>
      <c r="AL8" s="5" t="n">
        <v>1.79E-009</v>
      </c>
    </row>
    <row r="9" customFormat="false" ht="16.9" hidden="false" customHeight="true" outlineLevel="0" collapsed="false">
      <c r="A9" s="14" t="s">
        <v>15</v>
      </c>
      <c r="B9" s="15" t="n">
        <f aca="false">3.9797*10^(-6)</f>
        <v>3.9797E-006</v>
      </c>
      <c r="C9" s="16" t="n">
        <f aca="false">+B9*24*365*100^2</f>
        <v>348.62172</v>
      </c>
      <c r="E9" s="0" t="n">
        <f aca="false">+C11/365/24/60/60</f>
        <v>9.78E-006</v>
      </c>
      <c r="G9" s="0" t="s">
        <v>16</v>
      </c>
      <c r="H9" s="15" t="n">
        <f aca="false">+3.6*60*60/100^2</f>
        <v>1.296</v>
      </c>
      <c r="J9" s="7" t="s">
        <v>17</v>
      </c>
      <c r="K9" s="0" t="n">
        <v>0</v>
      </c>
      <c r="L9" s="0" t="n">
        <v>18</v>
      </c>
      <c r="M9" s="0" t="n">
        <v>25</v>
      </c>
      <c r="N9" s="17"/>
      <c r="P9" s="7" t="s">
        <v>10</v>
      </c>
      <c r="R9" s="0" t="n">
        <f aca="false">(R8-Q8)/5</f>
        <v>11.163744</v>
      </c>
      <c r="S9" s="0" t="n">
        <f aca="false">(S8-R8)/5</f>
        <v>11.35296</v>
      </c>
      <c r="T9" s="0" t="n">
        <f aca="false">(T8-S8)/5</f>
        <v>11.35296</v>
      </c>
      <c r="U9" s="0" t="n">
        <f aca="false">(U8-T8)/5</f>
        <v>11.35296</v>
      </c>
      <c r="V9" s="0" t="n">
        <f aca="false">(V8-U8)/5</f>
        <v>10.72224</v>
      </c>
      <c r="X9" s="7" t="s">
        <v>10</v>
      </c>
      <c r="Y9" s="5"/>
      <c r="Z9" s="5" t="n">
        <f aca="false">(Z8-Y8)/5</f>
        <v>3.54E-007</v>
      </c>
      <c r="AA9" s="5" t="n">
        <f aca="false">(AA8-Z8)/5</f>
        <v>3.6E-007</v>
      </c>
      <c r="AB9" s="5" t="n">
        <f aca="false">(AB8-AA8)/5</f>
        <v>3.6E-007</v>
      </c>
      <c r="AC9" s="5" t="n">
        <f aca="false">(AC8-AB8)/5</f>
        <v>3.6E-007</v>
      </c>
      <c r="AD9" s="5" t="n">
        <f aca="false">(AD8-AC8)/5</f>
        <v>3.4E-007</v>
      </c>
      <c r="AH9" s="0" t="n">
        <f aca="false">(AH8-AG8)/5</f>
        <v>3.54E-011</v>
      </c>
      <c r="AI9" s="0" t="n">
        <f aca="false">(AI8-AH8)/5</f>
        <v>3.6E-011</v>
      </c>
      <c r="AJ9" s="0" t="n">
        <f aca="false">(AJ8-AI8)/5</f>
        <v>3.6E-011</v>
      </c>
      <c r="AK9" s="0" t="n">
        <f aca="false">(AK8-AJ8)/5</f>
        <v>3.6E-011</v>
      </c>
      <c r="AL9" s="0" t="n">
        <f aca="false">(AL8-AK8)/5</f>
        <v>3.4E-011</v>
      </c>
    </row>
    <row r="10" customFormat="false" ht="16.9" hidden="false" customHeight="true" outlineLevel="0" collapsed="false">
      <c r="A10" s="14" t="s">
        <v>18</v>
      </c>
      <c r="B10" s="15" t="n">
        <f aca="false">+0.1608*10^(-6)</f>
        <v>1.608E-007</v>
      </c>
      <c r="C10" s="18" t="n">
        <f aca="false">+B10*24*365*100^2</f>
        <v>14.08608</v>
      </c>
      <c r="G10" s="0" t="s">
        <v>19</v>
      </c>
      <c r="H10" s="0" t="n">
        <f aca="false">K18*60*60/100^2</f>
        <v>1.8</v>
      </c>
      <c r="J10" s="7"/>
      <c r="K10" s="0" t="n">
        <v>9.78</v>
      </c>
      <c r="L10" s="0" t="n">
        <v>16.1</v>
      </c>
      <c r="M10" s="0" t="n">
        <v>19</v>
      </c>
      <c r="N10" s="17"/>
      <c r="P10" s="0" t="str">
        <f aca="false">X10</f>
        <v>NH4</v>
      </c>
      <c r="Q10" s="0" t="n">
        <f aca="false">Y10*60*60*24*365</f>
        <v>284.77008</v>
      </c>
      <c r="R10" s="0" t="n">
        <f aca="false">Z10*60*60*24*365</f>
        <v>346.896</v>
      </c>
      <c r="S10" s="0" t="n">
        <f aca="false">AA10*60*60*24*365</f>
        <v>406.8144</v>
      </c>
      <c r="T10" s="0" t="n">
        <f aca="false">AB10*60*60*24*365</f>
        <v>463.5792</v>
      </c>
      <c r="U10" s="0" t="n">
        <f aca="false">AC10*60*60*24*365</f>
        <v>523.4976</v>
      </c>
      <c r="V10" s="0" t="n">
        <f aca="false">AD10*60*60*24*365</f>
        <v>583.416</v>
      </c>
      <c r="X10" s="0" t="str">
        <f aca="false">AF10</f>
        <v>NH4</v>
      </c>
      <c r="Y10" s="5" t="n">
        <f aca="false">AG10*10^{4}</f>
        <v>9.03E-006</v>
      </c>
      <c r="Z10" s="5" t="n">
        <f aca="false">AH10*10^{4}</f>
        <v>1.1E-005</v>
      </c>
      <c r="AA10" s="5" t="n">
        <f aca="false">AI10*10^{4}</f>
        <v>1.29E-005</v>
      </c>
      <c r="AB10" s="5" t="n">
        <f aca="false">AJ10*10^{4}</f>
        <v>1.47E-005</v>
      </c>
      <c r="AC10" s="5" t="n">
        <f aca="false">AK10*10^{4}</f>
        <v>1.66E-005</v>
      </c>
      <c r="AD10" s="5" t="n">
        <f aca="false">AL10*10^{4}</f>
        <v>1.85E-005</v>
      </c>
      <c r="AF10" s="0" t="s">
        <v>20</v>
      </c>
      <c r="AG10" s="5" t="n">
        <v>9.03E-010</v>
      </c>
      <c r="AH10" s="5" t="n">
        <v>1.1E-009</v>
      </c>
      <c r="AI10" s="5" t="n">
        <v>1.29E-009</v>
      </c>
      <c r="AJ10" s="5" t="n">
        <v>1.47E-009</v>
      </c>
      <c r="AK10" s="5" t="n">
        <v>1.66E-009</v>
      </c>
      <c r="AL10" s="5" t="n">
        <v>1.85E-009</v>
      </c>
    </row>
    <row r="11" customFormat="false" ht="16.9" hidden="false" customHeight="true" outlineLevel="0" collapsed="false">
      <c r="A11" s="14" t="s">
        <v>21</v>
      </c>
      <c r="B11" s="15" t="n">
        <f aca="false">3.5208*10^(-6)</f>
        <v>3.5208E-006</v>
      </c>
      <c r="C11" s="16" t="n">
        <f aca="false">+B11*24*365*100^2</f>
        <v>308.42208</v>
      </c>
      <c r="G11" s="0" t="s">
        <v>22</v>
      </c>
      <c r="H11" s="15" t="n">
        <f aca="false">K28*60*60/100^2</f>
        <v>3.51</v>
      </c>
      <c r="J11" s="7" t="s">
        <v>10</v>
      </c>
      <c r="L11" s="0" t="n">
        <f aca="false">(L10-K10)/18</f>
        <v>0.351111111111111</v>
      </c>
      <c r="M11" s="0" t="n">
        <f aca="false">(M10-K10)/25</f>
        <v>0.3688</v>
      </c>
      <c r="N11" s="17"/>
      <c r="P11" s="0" t="str">
        <f aca="false">X11</f>
        <v>linear coeff</v>
      </c>
      <c r="R11" s="0" t="n">
        <f aca="false">(R10-Q10)/5</f>
        <v>12.425184</v>
      </c>
      <c r="S11" s="0" t="n">
        <f aca="false">(S10-R10)/5</f>
        <v>11.98368</v>
      </c>
      <c r="T11" s="0" t="n">
        <f aca="false">(T10-S10)/5</f>
        <v>11.35296</v>
      </c>
      <c r="U11" s="0" t="n">
        <f aca="false">(U10-T10)/5</f>
        <v>11.98368</v>
      </c>
      <c r="V11" s="0" t="n">
        <f aca="false">(V10-U10)/5</f>
        <v>11.98368</v>
      </c>
      <c r="X11" s="7" t="s">
        <v>10</v>
      </c>
      <c r="Y11" s="5"/>
      <c r="Z11" s="5" t="n">
        <f aca="false">(Z10-Y10)/5</f>
        <v>3.94E-007</v>
      </c>
      <c r="AA11" s="5" t="n">
        <f aca="false">(AA10-Z10)/5</f>
        <v>3.8E-007</v>
      </c>
      <c r="AB11" s="5" t="n">
        <f aca="false">(AB10-AA10)/5</f>
        <v>3.6E-007</v>
      </c>
      <c r="AC11" s="5" t="n">
        <f aca="false">(AC10-AB10)/5</f>
        <v>3.8E-007</v>
      </c>
      <c r="AD11" s="5" t="n">
        <f aca="false">(AD10-AC10)/5</f>
        <v>3.8E-007</v>
      </c>
    </row>
    <row r="12" customFormat="false" ht="16.9" hidden="false" customHeight="true" outlineLevel="0" collapsed="false">
      <c r="A12" s="14" t="s">
        <v>23</v>
      </c>
      <c r="B12" s="0" t="n">
        <f aca="false">+0.14*10^(-6)</f>
        <v>1.4E-007</v>
      </c>
      <c r="C12" s="16" t="n">
        <f aca="false">+B12*24*365*100^2</f>
        <v>12.264</v>
      </c>
      <c r="G12" s="0" t="s">
        <v>20</v>
      </c>
      <c r="H12" s="15" t="n">
        <f aca="false">K38*60*60/100^2</f>
        <v>3.528</v>
      </c>
      <c r="J12" s="7"/>
      <c r="M12" s="0" t="n">
        <f aca="false">(M10-L10)/(M9-L9)</f>
        <v>0.414285714285714</v>
      </c>
      <c r="N12" s="17"/>
      <c r="P12" s="0" t="str">
        <f aca="false">X12</f>
        <v>SO4</v>
      </c>
      <c r="Q12" s="0" t="n">
        <f aca="false">Y12*60*60*24*365</f>
        <v>146.32704</v>
      </c>
      <c r="R12" s="0" t="n">
        <f aca="false">Z12*60*60*24*365</f>
        <v>180.38592</v>
      </c>
      <c r="S12" s="0" t="n">
        <f aca="false">AA12*60*60*24*365</f>
        <v>214.12944</v>
      </c>
      <c r="T12" s="0" t="n">
        <f aca="false">AB12*60*60*24*365</f>
        <v>247.87296</v>
      </c>
      <c r="U12" s="0" t="n">
        <f aca="false">AC12*60*60*24*365</f>
        <v>280.98576</v>
      </c>
      <c r="V12" s="0" t="n">
        <f aca="false">AD12*60*60*24*365</f>
        <v>313.7832</v>
      </c>
      <c r="X12" s="0" t="str">
        <f aca="false">AF12</f>
        <v>SO4</v>
      </c>
      <c r="Y12" s="5" t="n">
        <f aca="false">AG12*10^{4}</f>
        <v>4.64E-006</v>
      </c>
      <c r="Z12" s="5" t="n">
        <f aca="false">AH12*10^{4}</f>
        <v>5.72E-006</v>
      </c>
      <c r="AA12" s="5" t="n">
        <f aca="false">AI12*10^{4}</f>
        <v>6.79E-006</v>
      </c>
      <c r="AB12" s="5" t="n">
        <f aca="false">AJ12*10^{4}</f>
        <v>7.86E-006</v>
      </c>
      <c r="AC12" s="5" t="n">
        <f aca="false">AK12*10^{4}</f>
        <v>8.91E-006</v>
      </c>
      <c r="AD12" s="5" t="n">
        <f aca="false">AL12*10^{4}</f>
        <v>9.95E-006</v>
      </c>
      <c r="AF12" s="0" t="s">
        <v>19</v>
      </c>
      <c r="AG12" s="5" t="n">
        <v>4.64E-010</v>
      </c>
      <c r="AH12" s="5" t="n">
        <v>5.72E-010</v>
      </c>
      <c r="AI12" s="5" t="n">
        <v>6.79E-010</v>
      </c>
      <c r="AJ12" s="5" t="n">
        <v>7.86E-010</v>
      </c>
      <c r="AK12" s="5" t="n">
        <v>8.91E-010</v>
      </c>
      <c r="AL12" s="5" t="n">
        <v>9.95E-010</v>
      </c>
    </row>
    <row r="13" customFormat="false" ht="16.9" hidden="false" customHeight="true" outlineLevel="0" collapsed="false">
      <c r="A13" s="14" t="s">
        <v>24</v>
      </c>
      <c r="B13" s="15" t="n">
        <f aca="false">1.2889*10^(-6)</f>
        <v>1.2889E-006</v>
      </c>
      <c r="C13" s="16" t="n">
        <f aca="false">+B13*24*365*100^2</f>
        <v>112.90764</v>
      </c>
      <c r="D13" s="0" t="s">
        <v>25</v>
      </c>
      <c r="G13" s="0" t="s">
        <v>26</v>
      </c>
      <c r="J13" s="7" t="s">
        <v>27</v>
      </c>
      <c r="K13" s="19"/>
      <c r="L13" s="19" t="n">
        <f aca="false">+L11*60^2/100^2</f>
        <v>0.1264</v>
      </c>
      <c r="M13" s="19" t="n">
        <f aca="false">+M11*60^2/100^2</f>
        <v>0.132768</v>
      </c>
      <c r="N13" s="17" t="n">
        <f aca="false">+M12*60^2/100^2</f>
        <v>0.149142857142857</v>
      </c>
      <c r="P13" s="0" t="str">
        <f aca="false">X13</f>
        <v>linear coeff</v>
      </c>
      <c r="R13" s="0" t="n">
        <f aca="false">(R12-Q12)/5</f>
        <v>6.811776</v>
      </c>
      <c r="S13" s="0" t="n">
        <f aca="false">(S12-R12)/5</f>
        <v>6.748704</v>
      </c>
      <c r="T13" s="0" t="n">
        <f aca="false">(T12-S12)/5</f>
        <v>6.74870400000001</v>
      </c>
      <c r="U13" s="0" t="n">
        <f aca="false">(U12-T12)/5</f>
        <v>6.62256</v>
      </c>
      <c r="V13" s="0" t="n">
        <f aca="false">(V12-U12)/5</f>
        <v>6.55948799999999</v>
      </c>
      <c r="X13" s="7" t="s">
        <v>10</v>
      </c>
      <c r="Y13" s="5"/>
      <c r="Z13" s="5" t="n">
        <f aca="false">(Z12-Y12)/5</f>
        <v>2.16E-007</v>
      </c>
      <c r="AA13" s="5" t="n">
        <f aca="false">(AA12-Z12)/5</f>
        <v>2.14E-007</v>
      </c>
      <c r="AB13" s="5" t="n">
        <f aca="false">(AB12-AA12)/5</f>
        <v>2.14E-007</v>
      </c>
      <c r="AC13" s="5" t="n">
        <f aca="false">(AC12-AB12)/5</f>
        <v>2.1E-007</v>
      </c>
      <c r="AD13" s="5" t="n">
        <f aca="false">(AD12-AC12)/5</f>
        <v>2.08E-007</v>
      </c>
    </row>
    <row r="14" customFormat="false" ht="16.9" hidden="false" customHeight="true" outlineLevel="0" collapsed="false">
      <c r="A14" s="14" t="s">
        <v>28</v>
      </c>
      <c r="B14" s="15" t="n">
        <f aca="false">+0.06377*10^(-6)</f>
        <v>6.377E-008</v>
      </c>
      <c r="C14" s="16" t="n">
        <f aca="false">+B14*24*365*100^2</f>
        <v>5.586252</v>
      </c>
      <c r="D14" s="0" t="s">
        <v>25</v>
      </c>
      <c r="J14" s="20"/>
      <c r="K14" s="21" t="n">
        <f aca="false">AVERAGE(M13:N13)</f>
        <v>0.140955428571429</v>
      </c>
      <c r="L14" s="21"/>
      <c r="M14" s="21"/>
      <c r="N14" s="22"/>
      <c r="P14" s="0" t="str">
        <f aca="false">X14</f>
        <v>H2S/HS-</v>
      </c>
      <c r="Q14" s="0" t="n">
        <f aca="false">Y14*60*60*24*365</f>
        <v>311.89104</v>
      </c>
      <c r="R14" s="0" t="n">
        <f aca="false">Z14*60*60*24*365</f>
        <v>350.0496</v>
      </c>
      <c r="S14" s="0" t="n">
        <f aca="false">AA14*60*60*24*365</f>
        <v>391.0464</v>
      </c>
      <c r="T14" s="0" t="n">
        <f aca="false">AB14*60*60*24*365</f>
        <v>428.8896</v>
      </c>
      <c r="U14" s="0" t="n">
        <f aca="false">AC14*60*60*24*365</f>
        <v>469.8864</v>
      </c>
      <c r="V14" s="0" t="n">
        <f aca="false">AD14*60*60*24*365</f>
        <v>507.7296</v>
      </c>
      <c r="X14" s="0" t="str">
        <f aca="false">AF14</f>
        <v>H2S/HS-</v>
      </c>
      <c r="Y14" s="5" t="n">
        <f aca="false">AG14*10^{4}</f>
        <v>9.89E-006</v>
      </c>
      <c r="Z14" s="5" t="n">
        <f aca="false">AH14*10^{4}</f>
        <v>1.11E-005</v>
      </c>
      <c r="AA14" s="5" t="n">
        <f aca="false">AI14*10^{4}</f>
        <v>1.24E-005</v>
      </c>
      <c r="AB14" s="5" t="n">
        <f aca="false">AJ14*10^{4}</f>
        <v>1.36E-005</v>
      </c>
      <c r="AC14" s="5" t="n">
        <f aca="false">AK14*10^{4}</f>
        <v>1.49E-005</v>
      </c>
      <c r="AD14" s="5" t="n">
        <f aca="false">AL14*10^{4}</f>
        <v>1.61E-005</v>
      </c>
      <c r="AF14" s="0" t="s">
        <v>29</v>
      </c>
      <c r="AG14" s="5" t="n">
        <v>9.89E-010</v>
      </c>
      <c r="AH14" s="5" t="n">
        <v>1.11E-009</v>
      </c>
      <c r="AI14" s="5" t="n">
        <v>1.24E-009</v>
      </c>
      <c r="AJ14" s="5" t="n">
        <v>1.36E-009</v>
      </c>
      <c r="AK14" s="5" t="n">
        <v>1.49E-009</v>
      </c>
      <c r="AL14" s="5" t="n">
        <v>1.61E-009</v>
      </c>
    </row>
    <row r="15" customFormat="false" ht="16.9" hidden="false" customHeight="true" outlineLevel="0" collapsed="false">
      <c r="A15" s="14" t="s">
        <v>30</v>
      </c>
      <c r="B15" s="0" t="n">
        <f aca="false">H10*10^(-6)</f>
        <v>1.8E-006</v>
      </c>
      <c r="C15" s="16" t="n">
        <f aca="false">+B15*24*365*100^2</f>
        <v>157.68</v>
      </c>
      <c r="G15" s="6" t="s">
        <v>31</v>
      </c>
      <c r="H15" s="6"/>
      <c r="P15" s="0" t="str">
        <f aca="false">X15</f>
        <v>linear coeff</v>
      </c>
      <c r="R15" s="0" t="n">
        <f aca="false">(R14-Q14)/5</f>
        <v>7.63171200000002</v>
      </c>
      <c r="S15" s="0" t="n">
        <f aca="false">(S14-R14)/5</f>
        <v>8.19935999999998</v>
      </c>
      <c r="T15" s="0" t="n">
        <f aca="false">(T14-S14)/5</f>
        <v>7.56864000000001</v>
      </c>
      <c r="U15" s="0" t="n">
        <f aca="false">(U14-T14)/5</f>
        <v>8.19935999999999</v>
      </c>
      <c r="V15" s="0" t="n">
        <f aca="false">(V14-U14)/5</f>
        <v>7.56864000000002</v>
      </c>
      <c r="X15" s="7" t="s">
        <v>10</v>
      </c>
      <c r="Y15" s="5"/>
      <c r="Z15" s="5" t="n">
        <f aca="false">(Z14-Y14)/5</f>
        <v>2.42E-007</v>
      </c>
      <c r="AA15" s="5" t="n">
        <f aca="false">(AA14-Z14)/5</f>
        <v>2.6E-007</v>
      </c>
      <c r="AB15" s="5" t="n">
        <f aca="false">(AB14-AA14)/5</f>
        <v>2.4E-007</v>
      </c>
      <c r="AC15" s="5" t="n">
        <f aca="false">(AC14-AB14)/5</f>
        <v>2.6E-007</v>
      </c>
      <c r="AD15" s="5" t="n">
        <f aca="false">(AD14-AC14)/5</f>
        <v>2.4E-007</v>
      </c>
    </row>
    <row r="16" customFormat="false" ht="16.9" hidden="false" customHeight="true" outlineLevel="0" collapsed="false">
      <c r="A16" s="14" t="s">
        <v>32</v>
      </c>
      <c r="B16" s="0" t="n">
        <f aca="false">K23*10^(-6)</f>
        <v>9E-008</v>
      </c>
      <c r="C16" s="16" t="n">
        <f aca="false">+B16*24*365*100^2</f>
        <v>7.884</v>
      </c>
      <c r="G16" s="0" t="s">
        <v>26</v>
      </c>
      <c r="H16" s="0" t="n">
        <f aca="false">+11.8*60*60/100^2</f>
        <v>4.248</v>
      </c>
      <c r="J16" s="8"/>
      <c r="K16" s="11" t="s">
        <v>19</v>
      </c>
      <c r="L16" s="12"/>
      <c r="M16" s="12"/>
      <c r="N16" s="13"/>
      <c r="P16" s="0" t="str">
        <f aca="false">X16</f>
        <v>PO4</v>
      </c>
      <c r="Q16" s="0" t="n">
        <f aca="false">Y16*60*60*24*365</f>
        <v>78.52464</v>
      </c>
      <c r="R16" s="0" t="n">
        <f aca="false">Z16*60*60*24*365</f>
        <v>99.65376</v>
      </c>
      <c r="S16" s="0" t="n">
        <f aca="false">AA16*60*60*24*365</f>
        <v>120.46752</v>
      </c>
      <c r="T16" s="0" t="n">
        <f aca="false">AB16*60*60*24*365</f>
        <v>141.28128</v>
      </c>
      <c r="U16" s="0" t="n">
        <f aca="false">AC16*60*60*24*365</f>
        <v>161.77968</v>
      </c>
      <c r="V16" s="0" t="n">
        <f aca="false">AD16*60*60*24*365</f>
        <v>181.96272</v>
      </c>
      <c r="X16" s="0" t="str">
        <f aca="false">AF16</f>
        <v>PO4</v>
      </c>
      <c r="Y16" s="5" t="n">
        <f aca="false">AG16*10^{4}</f>
        <v>2.49E-006</v>
      </c>
      <c r="Z16" s="5" t="n">
        <f aca="false">AH16*10^{4}</f>
        <v>3.16E-006</v>
      </c>
      <c r="AA16" s="5" t="n">
        <f aca="false">AI16*10^{4}</f>
        <v>3.82E-006</v>
      </c>
      <c r="AB16" s="5" t="n">
        <f aca="false">AJ16*10^{4}</f>
        <v>4.48E-006</v>
      </c>
      <c r="AC16" s="5" t="n">
        <f aca="false">AK16*10^{4}</f>
        <v>5.13E-006</v>
      </c>
      <c r="AD16" s="5" t="n">
        <f aca="false">AL16*10^{4}</f>
        <v>5.77E-006</v>
      </c>
      <c r="AF16" s="0" t="s">
        <v>16</v>
      </c>
      <c r="AG16" s="5" t="n">
        <v>2.49E-010</v>
      </c>
      <c r="AH16" s="5" t="n">
        <v>3.16E-010</v>
      </c>
      <c r="AI16" s="5" t="n">
        <v>3.82E-010</v>
      </c>
      <c r="AJ16" s="5" t="n">
        <v>4.48E-010</v>
      </c>
      <c r="AK16" s="5" t="n">
        <v>5.13E-010</v>
      </c>
      <c r="AL16" s="5" t="n">
        <v>5.77E-010</v>
      </c>
    </row>
    <row r="17" customFormat="false" ht="16.9" hidden="false" customHeight="true" outlineLevel="0" collapsed="false">
      <c r="A17" s="14" t="s">
        <v>33</v>
      </c>
      <c r="B17" s="0" t="n">
        <f aca="false">H11*10^(-6)</f>
        <v>3.51E-006</v>
      </c>
      <c r="C17" s="23" t="n">
        <f aca="false">+B17*24*365*100^2</f>
        <v>307.476</v>
      </c>
      <c r="J17" s="7" t="s">
        <v>17</v>
      </c>
      <c r="K17" s="0" t="n">
        <v>0</v>
      </c>
      <c r="L17" s="0" t="n">
        <v>18</v>
      </c>
      <c r="M17" s="0" t="n">
        <v>25</v>
      </c>
      <c r="N17" s="17"/>
      <c r="P17" s="0" t="str">
        <f aca="false">X17</f>
        <v>linear coeff</v>
      </c>
      <c r="R17" s="0" t="n">
        <f aca="false">(R16-Q16)/5</f>
        <v>4.225824</v>
      </c>
      <c r="S17" s="0" t="n">
        <f aca="false">(S16-R16)/5</f>
        <v>4.16275199999999</v>
      </c>
      <c r="T17" s="0" t="n">
        <f aca="false">(T16-S16)/5</f>
        <v>4.16275200000001</v>
      </c>
      <c r="U17" s="0" t="n">
        <f aca="false">(U16-T16)/5</f>
        <v>4.09967999999999</v>
      </c>
      <c r="V17" s="0" t="n">
        <f aca="false">(V16-U16)/5</f>
        <v>4.03660800000001</v>
      </c>
      <c r="X17" s="7" t="s">
        <v>10</v>
      </c>
      <c r="Y17" s="5"/>
      <c r="Z17" s="5" t="n">
        <f aca="false">(Z16-Y16)/5</f>
        <v>1.34E-007</v>
      </c>
      <c r="AA17" s="5" t="n">
        <f aca="false">(AA16-Z16)/5</f>
        <v>1.32E-007</v>
      </c>
      <c r="AB17" s="5" t="n">
        <f aca="false">(AB16-AA16)/5</f>
        <v>1.32E-007</v>
      </c>
      <c r="AC17" s="5" t="n">
        <f aca="false">(AC16-AB16)/5</f>
        <v>1.3E-007</v>
      </c>
      <c r="AD17" s="5" t="n">
        <f aca="false">(AD16-AC16)/5</f>
        <v>1.28E-007</v>
      </c>
    </row>
    <row r="18" customFormat="false" ht="16.9" hidden="false" customHeight="true" outlineLevel="0" collapsed="false">
      <c r="A18" s="24" t="s">
        <v>34</v>
      </c>
      <c r="B18" s="25" t="n">
        <f aca="false">K33*10^(-6)</f>
        <v>1.1E-007</v>
      </c>
      <c r="C18" s="16" t="n">
        <f aca="false">+B18*24*365*100^2</f>
        <v>9.636</v>
      </c>
      <c r="J18" s="7"/>
      <c r="K18" s="0" t="n">
        <v>5</v>
      </c>
      <c r="L18" s="0" t="n">
        <v>8.9</v>
      </c>
      <c r="M18" s="0" t="n">
        <v>10.7</v>
      </c>
      <c r="N18" s="17"/>
      <c r="P18" s="0" t="str">
        <f aca="false">X18</f>
        <v>HCO 3-</v>
      </c>
      <c r="Q18" s="0" t="n">
        <f aca="false">Y18*60*60*24*365</f>
        <v>151.68816</v>
      </c>
      <c r="R18" s="0" t="n">
        <f aca="false">Z18*60*60*24*365</f>
        <v>192.05424</v>
      </c>
      <c r="S18" s="0" t="n">
        <f aca="false">AA18*60*60*24*365</f>
        <v>232.42032</v>
      </c>
      <c r="T18" s="0" t="n">
        <f aca="false">AB18*60*60*24*365</f>
        <v>272.15568</v>
      </c>
      <c r="U18" s="0" t="n">
        <f aca="false">AC18*60*60*24*365</f>
        <v>311.89104</v>
      </c>
      <c r="V18" s="0" t="n">
        <f aca="false">AD18*60*60*24*365</f>
        <v>350.0496</v>
      </c>
      <c r="X18" s="0" t="str">
        <f aca="false">AF18</f>
        <v>HCO 3-</v>
      </c>
      <c r="Y18" s="5" t="n">
        <f aca="false">AG18*10^{4}</f>
        <v>4.81E-006</v>
      </c>
      <c r="Z18" s="5" t="n">
        <f aca="false">AH18*10^{4}</f>
        <v>6.09E-006</v>
      </c>
      <c r="AA18" s="5" t="n">
        <f aca="false">AI18*10^{4}</f>
        <v>7.37E-006</v>
      </c>
      <c r="AB18" s="5" t="n">
        <f aca="false">AJ18*10^{4}</f>
        <v>8.63E-006</v>
      </c>
      <c r="AC18" s="5" t="n">
        <f aca="false">AK18*10^{4}</f>
        <v>9.89E-006</v>
      </c>
      <c r="AD18" s="5" t="n">
        <f aca="false">AL18*10^{4}</f>
        <v>1.11E-005</v>
      </c>
      <c r="AF18" s="0" t="s">
        <v>35</v>
      </c>
      <c r="AG18" s="5" t="n">
        <v>4.81E-010</v>
      </c>
      <c r="AH18" s="5" t="n">
        <v>6.09E-010</v>
      </c>
      <c r="AI18" s="5" t="n">
        <v>7.37E-010</v>
      </c>
      <c r="AJ18" s="5" t="n">
        <v>8.63E-010</v>
      </c>
      <c r="AK18" s="5" t="n">
        <v>9.89E-010</v>
      </c>
      <c r="AL18" s="5" t="n">
        <v>1.11E-009</v>
      </c>
    </row>
    <row r="19" customFormat="false" ht="17.35" hidden="false" customHeight="false" outlineLevel="0" collapsed="false">
      <c r="A19" s="14" t="s">
        <v>36</v>
      </c>
      <c r="B19" s="0" t="n">
        <f aca="false">H12*10^(-6)</f>
        <v>3.528E-006</v>
      </c>
      <c r="C19" s="16" t="n">
        <f aca="false">+B19*24*365*100^2</f>
        <v>309.0528</v>
      </c>
      <c r="E19" s="26"/>
      <c r="J19" s="7" t="s">
        <v>10</v>
      </c>
      <c r="L19" s="0" t="n">
        <f aca="false">(L18-K18)/18</f>
        <v>0.216666666666667</v>
      </c>
      <c r="M19" s="0" t="n">
        <f aca="false">(M18-K18)/25</f>
        <v>0.228</v>
      </c>
      <c r="N19" s="17"/>
      <c r="P19" s="0" t="str">
        <f aca="false">X19</f>
        <v>linear coeff</v>
      </c>
      <c r="R19" s="0" t="n">
        <f aca="false">(R18-Q18)/5</f>
        <v>8.07321599999998</v>
      </c>
      <c r="S19" s="0" t="n">
        <f aca="false">(S18-R18)/5</f>
        <v>8.07321600000001</v>
      </c>
      <c r="T19" s="0" t="n">
        <f aca="false">(T18-S18)/5</f>
        <v>7.947072</v>
      </c>
      <c r="U19" s="0" t="n">
        <f aca="false">(U18-T18)/5</f>
        <v>7.94707199999999</v>
      </c>
      <c r="V19" s="0" t="n">
        <f aca="false">(V18-U18)/5</f>
        <v>7.63171200000002</v>
      </c>
      <c r="X19" s="7" t="s">
        <v>10</v>
      </c>
      <c r="Y19" s="5"/>
      <c r="Z19" s="5" t="n">
        <f aca="false">(Z18-Y18)/5</f>
        <v>2.56E-007</v>
      </c>
      <c r="AA19" s="5" t="n">
        <f aca="false">(AA18-Z18)/5</f>
        <v>2.56E-007</v>
      </c>
      <c r="AB19" s="5" t="n">
        <f aca="false">(AB18-AA18)/5</f>
        <v>2.52E-007</v>
      </c>
      <c r="AC19" s="5" t="n">
        <f aca="false">(AC18-AB18)/5</f>
        <v>2.52E-007</v>
      </c>
      <c r="AD19" s="5" t="n">
        <f aca="false">(AD18-AC18)/5</f>
        <v>2.42E-007</v>
      </c>
    </row>
    <row r="20" customFormat="false" ht="17.35" hidden="false" customHeight="false" outlineLevel="0" collapsed="false">
      <c r="A20" s="1" t="s">
        <v>37</v>
      </c>
      <c r="B20" s="0" t="n">
        <f aca="false">K42*10^(-6)</f>
        <v>1.78765714285714E-007</v>
      </c>
      <c r="C20" s="16" t="n">
        <f aca="false">+B20*24*365*100^2</f>
        <v>15.6598765714286</v>
      </c>
      <c r="D20" s="0" t="s">
        <v>38</v>
      </c>
      <c r="J20" s="7"/>
      <c r="M20" s="0" t="n">
        <f aca="false">(M18-L18)/(M17-L17)</f>
        <v>0.257142857142857</v>
      </c>
      <c r="N20" s="17"/>
      <c r="P20" s="0" t="str">
        <f aca="false">X20</f>
        <v>CO 3 2-</v>
      </c>
      <c r="Q20" s="0" t="n">
        <f aca="false">Y20*60*60*24*365</f>
        <v>129.92832</v>
      </c>
      <c r="R20" s="0" t="n">
        <f aca="false">Z20*60*60*24*365</f>
        <v>158.94144</v>
      </c>
      <c r="S20" s="0" t="n">
        <f aca="false">AA20*60*60*24*365</f>
        <v>187.95456</v>
      </c>
      <c r="T20" s="0" t="n">
        <f aca="false">AB20*60*60*24*365</f>
        <v>216.65232</v>
      </c>
      <c r="U20" s="0" t="n">
        <f aca="false">AC20*60*60*24*365</f>
        <v>245.35008</v>
      </c>
      <c r="V20" s="0" t="n">
        <f aca="false">AD20*60*60*24*365</f>
        <v>273.41712</v>
      </c>
      <c r="X20" s="0" t="str">
        <f aca="false">AF20</f>
        <v>CO 3 2-</v>
      </c>
      <c r="Y20" s="5" t="n">
        <f aca="false">AG20*10^{4}</f>
        <v>4.12E-006</v>
      </c>
      <c r="Z20" s="5" t="n">
        <f aca="false">AH20*10^{4}</f>
        <v>5.04E-006</v>
      </c>
      <c r="AA20" s="5" t="n">
        <f aca="false">AI20*10^{4}</f>
        <v>5.96E-006</v>
      </c>
      <c r="AB20" s="5" t="n">
        <f aca="false">AJ20*10^{4}</f>
        <v>6.87E-006</v>
      </c>
      <c r="AC20" s="5" t="n">
        <f aca="false">AK20*10^{4}</f>
        <v>7.78E-006</v>
      </c>
      <c r="AD20" s="5" t="n">
        <f aca="false">AL20*10^{4}</f>
        <v>8.67E-006</v>
      </c>
      <c r="AF20" s="0" t="s">
        <v>39</v>
      </c>
      <c r="AG20" s="5" t="n">
        <v>4.12E-010</v>
      </c>
      <c r="AH20" s="5" t="n">
        <v>5.04E-010</v>
      </c>
      <c r="AI20" s="5" t="n">
        <v>5.96E-010</v>
      </c>
      <c r="AJ20" s="5" t="n">
        <v>6.87E-010</v>
      </c>
      <c r="AK20" s="5" t="n">
        <v>7.78E-010</v>
      </c>
      <c r="AL20" s="5" t="n">
        <v>8.67E-010</v>
      </c>
    </row>
    <row r="21" customFormat="false" ht="17.35" hidden="false" customHeight="false" outlineLevel="0" collapsed="false">
      <c r="A21" s="1" t="s">
        <v>37</v>
      </c>
      <c r="B21" s="0" t="n">
        <f aca="false">+0.14*10^(-6)</f>
        <v>1.4E-007</v>
      </c>
      <c r="C21" s="16" t="n">
        <f aca="false">+B21*24*365*100^2</f>
        <v>12.264</v>
      </c>
      <c r="D21" s="0" t="s">
        <v>25</v>
      </c>
      <c r="J21" s="7" t="s">
        <v>40</v>
      </c>
      <c r="K21" s="19"/>
      <c r="L21" s="19" t="n">
        <f aca="false">+L19*60^2/100^2</f>
        <v>0.078</v>
      </c>
      <c r="M21" s="19" t="n">
        <f aca="false">+M19*60^2/100^2</f>
        <v>0.08208</v>
      </c>
      <c r="N21" s="17" t="n">
        <f aca="false">+M20*60^2/100^2</f>
        <v>0.0925714285714285</v>
      </c>
      <c r="P21" s="0" t="str">
        <f aca="false">X21</f>
        <v>linear coeff</v>
      </c>
      <c r="R21" s="0" t="n">
        <f aca="false">(R20-Q20)/5</f>
        <v>5.802624</v>
      </c>
      <c r="S21" s="0" t="n">
        <f aca="false">(S20-R20)/5</f>
        <v>5.802624</v>
      </c>
      <c r="T21" s="0" t="n">
        <f aca="false">(T20-S20)/5</f>
        <v>5.73955200000001</v>
      </c>
      <c r="U21" s="0" t="n">
        <f aca="false">(U20-T20)/5</f>
        <v>5.73955199999999</v>
      </c>
      <c r="V21" s="0" t="n">
        <f aca="false">(V20-U20)/5</f>
        <v>5.613408</v>
      </c>
      <c r="X21" s="7" t="s">
        <v>10</v>
      </c>
      <c r="Y21" s="5"/>
      <c r="Z21" s="5" t="n">
        <f aca="false">(Z20-Y20)/5</f>
        <v>1.84E-007</v>
      </c>
      <c r="AA21" s="5" t="n">
        <f aca="false">(AA20-Z20)/5</f>
        <v>1.84E-007</v>
      </c>
      <c r="AB21" s="5" t="n">
        <f aca="false">(AB20-AA20)/5</f>
        <v>1.82E-007</v>
      </c>
      <c r="AC21" s="5" t="n">
        <f aca="false">(AC20-AB20)/5</f>
        <v>1.82E-007</v>
      </c>
      <c r="AD21" s="5" t="n">
        <f aca="false">(AD20-AC20)/5</f>
        <v>1.78E-007</v>
      </c>
    </row>
    <row r="22" customFormat="false" ht="12.1" hidden="false" customHeight="true" outlineLevel="0" collapsed="false">
      <c r="J22" s="20"/>
      <c r="K22" s="21" t="n">
        <f aca="false">AVERAGE(M21:N21)</f>
        <v>0.0873257142857143</v>
      </c>
      <c r="L22" s="21"/>
      <c r="M22" s="21"/>
      <c r="N22" s="22"/>
      <c r="P22" s="0" t="str">
        <f aca="false">X22</f>
        <v>CO 2</v>
      </c>
      <c r="Q22" s="0" t="n">
        <f aca="false">Y22*60*60*24*365</f>
        <v>264.27168</v>
      </c>
      <c r="R22" s="0" t="n">
        <f aca="false">Z22*60*60*24*365</f>
        <v>324.8208</v>
      </c>
      <c r="S22" s="0" t="n">
        <f aca="false">AA22*60*60*24*365</f>
        <v>384.7392</v>
      </c>
      <c r="T22" s="0" t="n">
        <f aca="false">AB22*60*60*24*365</f>
        <v>444.6576</v>
      </c>
      <c r="U22" s="0" t="n">
        <f aca="false">AC22*60*60*24*365</f>
        <v>504.576</v>
      </c>
      <c r="V22" s="0" t="n">
        <f aca="false">AD22*60*60*24*365</f>
        <v>564.4944</v>
      </c>
      <c r="X22" s="0" t="str">
        <f aca="false">AF22</f>
        <v>CO 2</v>
      </c>
      <c r="Y22" s="5" t="n">
        <f aca="false">AG22*10^{4}</f>
        <v>8.38E-006</v>
      </c>
      <c r="Z22" s="5" t="n">
        <f aca="false">AH22*10^{4}</f>
        <v>1.03E-005</v>
      </c>
      <c r="AA22" s="5" t="n">
        <f aca="false">AI22*10^{4}</f>
        <v>1.22E-005</v>
      </c>
      <c r="AB22" s="5" t="n">
        <f aca="false">AJ22*10^{4}</f>
        <v>1.41E-005</v>
      </c>
      <c r="AC22" s="5" t="n">
        <f aca="false">AK22*10^{4}</f>
        <v>1.6E-005</v>
      </c>
      <c r="AD22" s="5" t="n">
        <f aca="false">AL22*10^{4}</f>
        <v>1.79E-005</v>
      </c>
      <c r="AF22" s="0" t="s">
        <v>41</v>
      </c>
      <c r="AG22" s="5" t="n">
        <v>8.38E-010</v>
      </c>
      <c r="AH22" s="5" t="n">
        <v>1.03E-009</v>
      </c>
      <c r="AI22" s="5" t="n">
        <v>1.22E-009</v>
      </c>
      <c r="AJ22" s="5" t="n">
        <v>1.41E-009</v>
      </c>
      <c r="AK22" s="5" t="n">
        <v>1.6E-009</v>
      </c>
      <c r="AL22" s="5" t="n">
        <v>1.79E-009</v>
      </c>
    </row>
    <row r="23" customFormat="false" ht="17.35" hidden="false" customHeight="false" outlineLevel="0" collapsed="false">
      <c r="A23" s="14" t="s">
        <v>42</v>
      </c>
      <c r="C23" s="1" t="n">
        <f aca="false">Q24</f>
        <v>181.96272</v>
      </c>
      <c r="J23" s="27" t="s">
        <v>43</v>
      </c>
      <c r="K23" s="28" t="n">
        <v>0.09</v>
      </c>
      <c r="P23" s="0" t="str">
        <f aca="false">X23</f>
        <v>linear coeff</v>
      </c>
      <c r="R23" s="0" t="n">
        <f aca="false">(R22-Q22)/5</f>
        <v>12.109824</v>
      </c>
      <c r="S23" s="0" t="n">
        <f aca="false">(S22-R22)/5</f>
        <v>11.98368</v>
      </c>
      <c r="T23" s="0" t="n">
        <f aca="false">(T22-S22)/5</f>
        <v>11.98368</v>
      </c>
      <c r="U23" s="0" t="n">
        <f aca="false">(U22-T22)/5</f>
        <v>11.98368</v>
      </c>
      <c r="V23" s="0" t="n">
        <f aca="false">(V22-U22)/5</f>
        <v>11.98368</v>
      </c>
      <c r="X23" s="7" t="s">
        <v>10</v>
      </c>
      <c r="Y23" s="5"/>
      <c r="Z23" s="5" t="n">
        <f aca="false">(Z22-Y22)/5</f>
        <v>3.84E-007</v>
      </c>
      <c r="AA23" s="5" t="n">
        <f aca="false">(AA22-Z22)/5</f>
        <v>3.8E-007</v>
      </c>
      <c r="AB23" s="5" t="n">
        <f aca="false">(AB22-AA22)/5</f>
        <v>3.8E-007</v>
      </c>
      <c r="AC23" s="5" t="n">
        <f aca="false">(AC22-AB22)/5</f>
        <v>3.8E-007</v>
      </c>
      <c r="AD23" s="5" t="n">
        <f aca="false">(AD22-AC22)/5</f>
        <v>3.8E-007</v>
      </c>
    </row>
    <row r="24" customFormat="false" ht="17.35" hidden="false" customHeight="false" outlineLevel="0" collapsed="false">
      <c r="A24" s="1" t="s">
        <v>44</v>
      </c>
      <c r="C24" s="1" t="n">
        <f aca="false">R25</f>
        <v>8.66188799999999</v>
      </c>
      <c r="P24" s="29" t="s">
        <v>45</v>
      </c>
      <c r="Q24" s="0" t="n">
        <f aca="false">AVERAGE(Q18,Q20,Q22)</f>
        <v>181.96272</v>
      </c>
      <c r="R24" s="0" t="n">
        <f aca="false">AVERAGE(R18,R20,R22)</f>
        <v>225.27216</v>
      </c>
      <c r="S24" s="0" t="n">
        <f aca="false">AVERAGE(S18,S20,S22)</f>
        <v>268.37136</v>
      </c>
      <c r="T24" s="0" t="n">
        <f aca="false">AVERAGE(T18,T20,T22)</f>
        <v>311.1552</v>
      </c>
      <c r="U24" s="0" t="n">
        <f aca="false">AVERAGE(U18,U20,U22)</f>
        <v>353.93904</v>
      </c>
      <c r="V24" s="0" t="n">
        <f aca="false">AVERAGE(V18,V20,V22)</f>
        <v>395.98704</v>
      </c>
      <c r="X24" s="0" t="str">
        <f aca="false">AF24</f>
        <v>DIC</v>
      </c>
      <c r="Y24" s="5" t="n">
        <f aca="false">AVERAGE(Y18,Y20,Y22)</f>
        <v>5.77E-006</v>
      </c>
      <c r="Z24" s="5" t="n">
        <f aca="false">AVERAGE(Z18,Z20,Z22)</f>
        <v>7.14333333333333E-006</v>
      </c>
      <c r="AA24" s="5" t="n">
        <f aca="false">AVERAGE(AA18,AA20,AA22)</f>
        <v>8.51E-006</v>
      </c>
      <c r="AB24" s="5" t="n">
        <f aca="false">AVERAGE(AB18,AB20,AB22)</f>
        <v>9.86666666666667E-006</v>
      </c>
      <c r="AC24" s="5" t="n">
        <f aca="false">AVERAGE(AC18,AC20,AC22)</f>
        <v>1.12233333333333E-005</v>
      </c>
      <c r="AD24" s="5" t="n">
        <f aca="false">AVERAGE(AD18,AD20,AD22)</f>
        <v>1.25566666666667E-005</v>
      </c>
      <c r="AF24" s="29" t="s">
        <v>26</v>
      </c>
      <c r="AG24" s="5" t="n">
        <f aca="false">AVERAGE(AG18,AG20,AG22)</f>
        <v>5.77E-010</v>
      </c>
      <c r="AH24" s="5" t="n">
        <f aca="false">AVERAGE(AH18,AH20,AH22)</f>
        <v>7.14333333333333E-010</v>
      </c>
      <c r="AI24" s="5" t="n">
        <f aca="false">AVERAGE(AI18,AI20,AI22)</f>
        <v>8.51E-010</v>
      </c>
      <c r="AJ24" s="5" t="n">
        <f aca="false">AVERAGE(AJ18,AJ20,AJ22)</f>
        <v>9.86666666666667E-010</v>
      </c>
      <c r="AK24" s="5" t="n">
        <f aca="false">AVERAGE(AK18,AK20,AK22)</f>
        <v>1.12233333333333E-009</v>
      </c>
      <c r="AL24" s="5" t="n">
        <f aca="false">AVERAGE(AL18,AL20,AL22)</f>
        <v>1.25566666666667E-009</v>
      </c>
    </row>
    <row r="25" customFormat="false" ht="12.8" hidden="false" customHeight="false" outlineLevel="0" collapsed="false">
      <c r="P25" s="0" t="str">
        <f aca="false">X25</f>
        <v>linear coeff</v>
      </c>
      <c r="R25" s="0" t="n">
        <f aca="false">(R24-Q24)/5</f>
        <v>8.66188799999999</v>
      </c>
      <c r="S25" s="0" t="n">
        <f aca="false">(S24-R24)/5</f>
        <v>8.61984000000001</v>
      </c>
      <c r="T25" s="0" t="n">
        <f aca="false">(T24-S24)/5</f>
        <v>8.556768</v>
      </c>
      <c r="U25" s="0" t="n">
        <f aca="false">(U24-T24)/5</f>
        <v>8.55676799999999</v>
      </c>
      <c r="V25" s="0" t="n">
        <f aca="false">(V24-U24)/5</f>
        <v>8.40960000000004</v>
      </c>
      <c r="X25" s="7" t="s">
        <v>10</v>
      </c>
      <c r="Y25" s="5"/>
      <c r="Z25" s="5" t="n">
        <f aca="false">(Z24-Y24)/5</f>
        <v>2.74666666666667E-007</v>
      </c>
      <c r="AA25" s="5" t="n">
        <f aca="false">(AA24-Z24)/5</f>
        <v>2.73333333333333E-007</v>
      </c>
      <c r="AB25" s="5" t="n">
        <f aca="false">(AB24-AA24)/5</f>
        <v>2.71333333333333E-007</v>
      </c>
      <c r="AC25" s="5" t="n">
        <f aca="false">(AC24-AB24)/5</f>
        <v>2.71333333333333E-007</v>
      </c>
      <c r="AD25" s="5" t="n">
        <f aca="false">(AD24-AC24)/5</f>
        <v>2.66666666666667E-007</v>
      </c>
    </row>
    <row r="26" customFormat="false" ht="15" hidden="false" customHeight="false" outlineLevel="0" collapsed="false">
      <c r="C26" s="5"/>
      <c r="J26" s="8"/>
      <c r="K26" s="11" t="s">
        <v>29</v>
      </c>
      <c r="L26" s="12"/>
      <c r="M26" s="12"/>
      <c r="N26" s="13"/>
      <c r="AF26" s="0" t="s">
        <v>46</v>
      </c>
    </row>
    <row r="27" customFormat="false" ht="17.35" hidden="false" customHeight="false" outlineLevel="0" collapsed="false">
      <c r="A27" s="30" t="s">
        <v>47</v>
      </c>
      <c r="C27" s="5"/>
      <c r="J27" s="7" t="s">
        <v>17</v>
      </c>
      <c r="K27" s="0" t="n">
        <v>0</v>
      </c>
      <c r="L27" s="0" t="n">
        <v>18</v>
      </c>
      <c r="M27" s="0" t="n">
        <v>25</v>
      </c>
      <c r="N27" s="17"/>
      <c r="Q27" s="0" t="s">
        <v>48</v>
      </c>
      <c r="R27" s="0" t="n">
        <f aca="false">AVERAGE(R19:V19)</f>
        <v>7.9344576</v>
      </c>
    </row>
    <row r="28" customFormat="false" ht="17.35" hidden="false" customHeight="false" outlineLevel="0" collapsed="false">
      <c r="A28" s="30" t="s">
        <v>49</v>
      </c>
      <c r="J28" s="7"/>
      <c r="K28" s="0" t="n">
        <v>9.75</v>
      </c>
      <c r="L28" s="0" t="n">
        <v>14.8</v>
      </c>
      <c r="M28" s="0" t="n">
        <v>17.3</v>
      </c>
      <c r="N28" s="17"/>
    </row>
    <row r="29" customFormat="false" ht="12.8" hidden="false" customHeight="false" outlineLevel="0" collapsed="false">
      <c r="J29" s="7" t="s">
        <v>10</v>
      </c>
      <c r="L29" s="0" t="n">
        <f aca="false">(L28-K28)/18</f>
        <v>0.280555555555556</v>
      </c>
      <c r="M29" s="0" t="n">
        <f aca="false">(M28-K28)/25</f>
        <v>0.302</v>
      </c>
      <c r="N29" s="17"/>
    </row>
    <row r="30" customFormat="false" ht="17.35" hidden="false" customHeight="false" outlineLevel="0" collapsed="false">
      <c r="A30" s="31" t="s">
        <v>50</v>
      </c>
      <c r="B30" s="12"/>
      <c r="C30" s="12"/>
      <c r="D30" s="12"/>
      <c r="E30" s="12"/>
      <c r="F30" s="13"/>
      <c r="J30" s="7"/>
      <c r="M30" s="0" t="n">
        <f aca="false">(M28-L28)/(M27-L27)</f>
        <v>0.357142857142857</v>
      </c>
      <c r="N30" s="17"/>
      <c r="P30" s="1"/>
    </row>
    <row r="31" customFormat="false" ht="15" hidden="false" customHeight="false" outlineLevel="0" collapsed="false">
      <c r="A31" s="7" t="s">
        <v>51</v>
      </c>
      <c r="B31" s="15" t="n">
        <f aca="false">H16*10^(-6)</f>
        <v>4.248E-006</v>
      </c>
      <c r="C31" s="32" t="n">
        <f aca="false">+B31*24*365*100^2</f>
        <v>372.1248</v>
      </c>
      <c r="F31" s="33"/>
      <c r="J31" s="7" t="s">
        <v>40</v>
      </c>
      <c r="K31" s="19"/>
      <c r="L31" s="19" t="n">
        <f aca="false">+L29*60^2/100^2</f>
        <v>0.101</v>
      </c>
      <c r="M31" s="19" t="n">
        <f aca="false">+M29*60^2/100^2</f>
        <v>0.10872</v>
      </c>
      <c r="N31" s="17" t="n">
        <f aca="false">+M30*60^2/100^2</f>
        <v>0.128571428571429</v>
      </c>
      <c r="Q31" s="4"/>
      <c r="R31" s="4"/>
      <c r="S31" s="4"/>
      <c r="T31" s="4"/>
      <c r="U31" s="4"/>
      <c r="V31" s="4"/>
    </row>
    <row r="32" customFormat="false" ht="12.8" hidden="false" customHeight="false" outlineLevel="0" collapsed="false">
      <c r="A32" s="34" t="s">
        <v>52</v>
      </c>
      <c r="B32" s="29"/>
      <c r="C32" s="29" t="n">
        <f aca="false">C31-25*C33</f>
        <v>65.5248</v>
      </c>
      <c r="F32" s="33"/>
      <c r="J32" s="20"/>
      <c r="K32" s="21" t="n">
        <f aca="false">AVERAGE(M31:N31)</f>
        <v>0.118645714285714</v>
      </c>
      <c r="L32" s="21"/>
      <c r="M32" s="21"/>
      <c r="N32" s="22"/>
    </row>
    <row r="33" customFormat="false" ht="15" hidden="false" customHeight="false" outlineLevel="0" collapsed="false">
      <c r="A33" s="34" t="s">
        <v>53</v>
      </c>
      <c r="B33" s="29"/>
      <c r="C33" s="29" t="n">
        <f aca="false">C12</f>
        <v>12.264</v>
      </c>
      <c r="F33" s="17"/>
      <c r="J33" s="27" t="s">
        <v>43</v>
      </c>
      <c r="K33" s="28" t="n">
        <v>0.11</v>
      </c>
    </row>
    <row r="34" customFormat="false" ht="12.8" hidden="false" customHeight="false" outlineLevel="0" collapsed="false">
      <c r="A34" s="7"/>
      <c r="B34" s="15"/>
      <c r="C34" s="15"/>
      <c r="F34" s="17"/>
    </row>
    <row r="35" customFormat="false" ht="12.8" hidden="false" customHeight="false" outlineLevel="0" collapsed="false">
      <c r="A35" s="7"/>
      <c r="B35" s="15"/>
      <c r="C35" s="15"/>
      <c r="F35" s="17"/>
    </row>
    <row r="36" customFormat="false" ht="15" hidden="false" customHeight="false" outlineLevel="0" collapsed="false">
      <c r="A36" s="35" t="s">
        <v>54</v>
      </c>
      <c r="B36" s="15"/>
      <c r="C36" s="15"/>
      <c r="F36" s="17"/>
      <c r="J36" s="8"/>
      <c r="K36" s="11" t="s">
        <v>20</v>
      </c>
      <c r="L36" s="12"/>
      <c r="M36" s="12"/>
      <c r="N36" s="13"/>
    </row>
    <row r="37" customFormat="false" ht="12.8" hidden="false" customHeight="false" outlineLevel="0" collapsed="false">
      <c r="A37" s="34" t="s">
        <v>55</v>
      </c>
      <c r="B37" s="15"/>
      <c r="C37" s="29" t="n">
        <f aca="false">AVERAGE(C19,C17)</f>
        <v>308.2644</v>
      </c>
      <c r="D37" s="0" t="s">
        <v>56</v>
      </c>
      <c r="F37" s="17"/>
      <c r="J37" s="7" t="s">
        <v>17</v>
      </c>
      <c r="K37" s="0" t="n">
        <v>0</v>
      </c>
      <c r="L37" s="0" t="n">
        <v>18</v>
      </c>
      <c r="M37" s="0" t="n">
        <v>25</v>
      </c>
      <c r="N37" s="17"/>
    </row>
    <row r="38" customFormat="false" ht="12.8" hidden="false" customHeight="false" outlineLevel="0" collapsed="false">
      <c r="A38" s="34" t="s">
        <v>57</v>
      </c>
      <c r="B38" s="15"/>
      <c r="C38" s="29" t="n">
        <f aca="false">AVERAGE(C21,C18)</f>
        <v>10.95</v>
      </c>
      <c r="D38" s="0" t="s">
        <v>58</v>
      </c>
      <c r="F38" s="17"/>
      <c r="J38" s="7"/>
      <c r="K38" s="0" t="n">
        <v>9.8</v>
      </c>
      <c r="L38" s="0" t="n">
        <v>16.8</v>
      </c>
      <c r="M38" s="0" t="n">
        <v>20.7</v>
      </c>
      <c r="N38" s="17"/>
      <c r="P38" s="29"/>
      <c r="Q38" s="29"/>
    </row>
    <row r="39" customFormat="false" ht="12.8" hidden="false" customHeight="false" outlineLevel="0" collapsed="false">
      <c r="A39" s="20"/>
      <c r="B39" s="21"/>
      <c r="C39" s="21"/>
      <c r="D39" s="21"/>
      <c r="E39" s="21"/>
      <c r="F39" s="22"/>
      <c r="J39" s="7" t="s">
        <v>10</v>
      </c>
      <c r="L39" s="0" t="n">
        <f aca="false">(L38-K38)/18</f>
        <v>0.388888888888889</v>
      </c>
      <c r="M39" s="0" t="n">
        <f aca="false">(M38-K38)/25</f>
        <v>0.436</v>
      </c>
      <c r="N39" s="17"/>
      <c r="P39" s="29"/>
      <c r="R39" s="29"/>
    </row>
    <row r="40" customFormat="false" ht="12.8" hidden="false" customHeight="false" outlineLevel="0" collapsed="false">
      <c r="J40" s="7"/>
      <c r="M40" s="0" t="n">
        <f aca="false">(M38-L38)/(M37-L37)</f>
        <v>0.557142857142857</v>
      </c>
      <c r="N40" s="17"/>
    </row>
    <row r="41" customFormat="false" ht="12.8" hidden="false" customHeight="false" outlineLevel="0" collapsed="false">
      <c r="J41" s="7" t="s">
        <v>27</v>
      </c>
      <c r="K41" s="19"/>
      <c r="L41" s="19" t="n">
        <f aca="false">+L39*60^2/100^2</f>
        <v>0.14</v>
      </c>
      <c r="M41" s="19" t="n">
        <f aca="false">+M39*60^2/100^2</f>
        <v>0.15696</v>
      </c>
      <c r="N41" s="17" t="n">
        <f aca="false">+M40*60^2/100^2</f>
        <v>0.200571428571428</v>
      </c>
    </row>
    <row r="42" customFormat="false" ht="12.8" hidden="false" customHeight="false" outlineLevel="0" collapsed="false">
      <c r="J42" s="20"/>
      <c r="K42" s="21" t="n">
        <f aca="false">AVERAGE(M41:N41)</f>
        <v>0.178765714285714</v>
      </c>
      <c r="L42" s="21"/>
      <c r="M42" s="21"/>
      <c r="N42" s="22"/>
    </row>
  </sheetData>
  <mergeCells count="3">
    <mergeCell ref="G5:N5"/>
    <mergeCell ref="G7:H7"/>
    <mergeCell ref="G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2016-02-15T15:06:34Z</dcterms:created>
  <dc:creator>Dominik Huelse</dc:creator>
  <dc:language>en-GB</dc:language>
  <cp:revision>0</cp:revision>
</cp:coreProperties>
</file>